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461" windowWidth="4215" windowHeight="7605" tabRatio="740" activeTab="4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>
    <definedName name="_xlnm.Print_Area" localSheetId="0">'Grades - 1st Term'!$A$2:$BY$38</definedName>
  </definedNames>
  <calcPr fullCalcOnLoad="1"/>
</workbook>
</file>

<file path=xl/sharedStrings.xml><?xml version="1.0" encoding="utf-8"?>
<sst xmlns="http://schemas.openxmlformats.org/spreadsheetml/2006/main" count="956" uniqueCount="228">
  <si>
    <t>Grade:</t>
  </si>
  <si>
    <t>Regents Credit</t>
  </si>
  <si>
    <t>Student #</t>
  </si>
  <si>
    <t>Failing at this time</t>
  </si>
  <si>
    <t>Absent - Does not need to be made up</t>
  </si>
  <si>
    <t>Missed Assignment - Grade of 0 given</t>
  </si>
  <si>
    <t>Student Name</t>
  </si>
  <si>
    <t>Book #</t>
  </si>
  <si>
    <t>Missed Lab - Needs to turn-in</t>
  </si>
  <si>
    <t>Failing Lab Grade (No Regents Credit)</t>
  </si>
  <si>
    <t>Labs</t>
  </si>
  <si>
    <t>Assignment:</t>
  </si>
  <si>
    <t>Due Date:</t>
  </si>
  <si>
    <t>X</t>
  </si>
  <si>
    <t>Needs to be made up and/or turned in</t>
  </si>
  <si>
    <t>Received, but not graded yet</t>
  </si>
  <si>
    <t>Lab Credits</t>
  </si>
  <si>
    <t>Mr. Thomas</t>
  </si>
  <si>
    <t>Total:</t>
  </si>
  <si>
    <t xml:space="preserve">Total Possible = </t>
  </si>
  <si>
    <t>Extra Credit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</si>
  <si>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</si>
  <si>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</si>
  <si>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</si>
  <si>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</si>
  <si>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</si>
  <si>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</si>
  <si>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</si>
  <si>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</si>
  <si>
    <t xml:space="preserve"> Regents Final</t>
  </si>
  <si>
    <t>Textbook #:</t>
  </si>
  <si>
    <t>Spring 2006 Earth Science 1AB Student Grades - 1st Term</t>
  </si>
  <si>
    <t>Textbook:</t>
  </si>
  <si>
    <t>Fall 2006 Student Grades - 1st Term</t>
  </si>
  <si>
    <t>Student:</t>
  </si>
  <si>
    <t>Fall 2006 Student Grades - 3rd Term</t>
  </si>
  <si>
    <t>Fall 2006 Student Grades - 2nd Term</t>
  </si>
  <si>
    <t>O8226</t>
  </si>
  <si>
    <t>O9349</t>
  </si>
  <si>
    <t>O7586</t>
  </si>
  <si>
    <t>O8034</t>
  </si>
  <si>
    <t>O6833</t>
  </si>
  <si>
    <t>O7212</t>
  </si>
  <si>
    <t>O7567</t>
  </si>
  <si>
    <t>O9203</t>
  </si>
  <si>
    <t>O7225</t>
  </si>
  <si>
    <t>O7936</t>
  </si>
  <si>
    <t>O7232</t>
  </si>
  <si>
    <t>O9999</t>
  </si>
  <si>
    <t>O8116</t>
  </si>
  <si>
    <t>O6230</t>
  </si>
  <si>
    <t>O6645</t>
  </si>
  <si>
    <t>Shane Connelly</t>
  </si>
  <si>
    <t>Cody Ginett</t>
  </si>
  <si>
    <t>Talia Gonzalez</t>
  </si>
  <si>
    <t>Dustin Harter</t>
  </si>
  <si>
    <t>Haley Hayes</t>
  </si>
  <si>
    <t>Kamerin Interlichia</t>
  </si>
  <si>
    <t>Jonathan Lillie</t>
  </si>
  <si>
    <t>Vincent Marks</t>
  </si>
  <si>
    <t>Jessie Martin</t>
  </si>
  <si>
    <t>Carolyn Meszko</t>
  </si>
  <si>
    <t>Haley Miller</t>
  </si>
  <si>
    <t>Jessica Sakowski</t>
  </si>
  <si>
    <t>Danielle Scheid</t>
  </si>
  <si>
    <t>Haley Steves</t>
  </si>
  <si>
    <t>Josh Webster</t>
  </si>
  <si>
    <t>Zach Whitcomb</t>
  </si>
  <si>
    <t>Carissa Wood</t>
  </si>
  <si>
    <t>Signature Packet &amp; Science Word List</t>
  </si>
  <si>
    <t># Points Possible:</t>
  </si>
  <si>
    <t>Patti Clark</t>
  </si>
  <si>
    <t>Jill LaValley</t>
  </si>
  <si>
    <t>Chris Robinson</t>
  </si>
  <si>
    <t>Sam Harper</t>
  </si>
  <si>
    <t>James Middeke</t>
  </si>
  <si>
    <t>Patty Clark</t>
  </si>
  <si>
    <t>AB</t>
  </si>
  <si>
    <t>Object Measurement Lab</t>
  </si>
  <si>
    <t># Lab Hours:</t>
  </si>
  <si>
    <t>Student Height Measurement Lab</t>
  </si>
  <si>
    <t>Density In Layers Lab</t>
  </si>
  <si>
    <t>TU</t>
  </si>
  <si>
    <t>TE</t>
  </si>
  <si>
    <t>Term Grade:</t>
  </si>
  <si>
    <t>HW #2 (WS #8)</t>
  </si>
  <si>
    <t>HW #3 (Acc. &amp; Meas. WS)</t>
  </si>
  <si>
    <t>Using Density Eq. WS</t>
  </si>
  <si>
    <t>% Dev. Quiz</t>
  </si>
  <si>
    <t>Mass, Vol, Den Quiz</t>
  </si>
  <si>
    <t>Perc. Dev. Quiz</t>
  </si>
  <si>
    <t>HW #4</t>
  </si>
  <si>
    <t>HW #5</t>
  </si>
  <si>
    <t>Gems &amp; Mins VWS</t>
  </si>
  <si>
    <t>Splendid Stones MWS</t>
  </si>
  <si>
    <t>Min. Prop. Lab</t>
  </si>
  <si>
    <t>HW #6 - (4) WS</t>
  </si>
  <si>
    <t>Min Treasure Hunt Lab</t>
  </si>
  <si>
    <t>Caverns Video Quiz</t>
  </si>
  <si>
    <t>HW #7</t>
  </si>
  <si>
    <t>Rock ID Activity</t>
  </si>
  <si>
    <t>HW #9</t>
  </si>
  <si>
    <t>HW #8 (3 Rocks WS's)</t>
  </si>
  <si>
    <t>Classwork</t>
  </si>
  <si>
    <t>Mineral Quiz</t>
  </si>
  <si>
    <t>Classifying Rocks Lab</t>
  </si>
  <si>
    <t>Unit Exam</t>
  </si>
  <si>
    <t>Streams/Rivers Lab</t>
  </si>
  <si>
    <t>Wx vs. Rock Type Lab</t>
  </si>
  <si>
    <t>HW #10</t>
  </si>
  <si>
    <t>Glacial Till Lab</t>
  </si>
  <si>
    <t>Wx'ing Quiz #1</t>
  </si>
  <si>
    <t>Glacial Rebound Lab</t>
  </si>
  <si>
    <t>Pop Quiz</t>
  </si>
  <si>
    <t>Stream Table Lab</t>
  </si>
  <si>
    <t>Wx'ing Packet &amp; Review HW</t>
  </si>
  <si>
    <t>Exam</t>
  </si>
  <si>
    <t>Exam Corrections</t>
  </si>
  <si>
    <t>HW #12 w/ College Notes on Waves</t>
  </si>
  <si>
    <t>Igneous Int. Act.</t>
  </si>
  <si>
    <t>Plate Tec Classwork WS (Pink)</t>
  </si>
  <si>
    <t>Earth Int. WS HW (Green)</t>
  </si>
  <si>
    <t>Virtual EQ Lab</t>
  </si>
  <si>
    <t>More P&amp;S Wave Practice HW</t>
  </si>
  <si>
    <t>World Date/Time</t>
  </si>
  <si>
    <t>HW #14</t>
  </si>
  <si>
    <t>Tsunami Movie Notes</t>
  </si>
  <si>
    <t>Miracle Planet MWS</t>
  </si>
  <si>
    <t>P&amp;S Wave Quiz</t>
  </si>
  <si>
    <t>HW #15</t>
  </si>
  <si>
    <t>HW #16</t>
  </si>
  <si>
    <t>Lat/Lon CW</t>
  </si>
  <si>
    <t>BIG Contour Map Lab</t>
  </si>
  <si>
    <t>Lat/Lon Review Packet CW</t>
  </si>
  <si>
    <t>Plate Tec &amp; Mapping Exam</t>
  </si>
  <si>
    <t>Mag. Polarity Rev. Lab</t>
  </si>
  <si>
    <t>Locating EQ. Epi. Lab</t>
  </si>
  <si>
    <t>Harrisburg Map Lab</t>
  </si>
  <si>
    <t>Volcano Project</t>
  </si>
  <si>
    <t>HW #17</t>
  </si>
  <si>
    <t>Analysis of Brach. Fossils Lab</t>
  </si>
  <si>
    <t>ED</t>
  </si>
  <si>
    <t>Earth Int. Review Quiz</t>
  </si>
  <si>
    <t>HW Vocab</t>
  </si>
  <si>
    <t>Hist. Timeline Lab</t>
  </si>
  <si>
    <t>Earth Hist WS #1</t>
  </si>
  <si>
    <t>Jurassic Movie Notes</t>
  </si>
  <si>
    <t>Extended EQ Lab</t>
  </si>
  <si>
    <t>Half Life Lab</t>
  </si>
  <si>
    <t>Quaternary</t>
  </si>
  <si>
    <t>Middle Jurassic</t>
  </si>
  <si>
    <t>Early Jurassic</t>
  </si>
  <si>
    <t>Silurian</t>
  </si>
  <si>
    <t>Cambrian</t>
  </si>
  <si>
    <t>Pennsylvanian</t>
  </si>
  <si>
    <t>Early Devonian</t>
  </si>
  <si>
    <t>Middle Triassic</t>
  </si>
  <si>
    <t>Paleogene</t>
  </si>
  <si>
    <t>Late Devonian</t>
  </si>
  <si>
    <t>HW #19</t>
  </si>
  <si>
    <t>HW #20</t>
  </si>
  <si>
    <t>Earth Hist Quiz</t>
  </si>
  <si>
    <t>Killer Quake Mov Notes</t>
  </si>
  <si>
    <t>Earth Hist. Exam</t>
  </si>
  <si>
    <t>Earth Hist. College Notes Review</t>
  </si>
  <si>
    <t>Earth Hist Project - Poster, Brochure, Paper</t>
  </si>
  <si>
    <t>ISD</t>
  </si>
  <si>
    <t>HW #22</t>
  </si>
  <si>
    <t>HW #23</t>
  </si>
  <si>
    <t>HW #25 - Models of Eclipses</t>
  </si>
  <si>
    <t>H-R WS Classwork</t>
  </si>
  <si>
    <t>HW #24 (Constellation Poster &amp; Movie Response)</t>
  </si>
  <si>
    <t>Stars Quiz</t>
  </si>
  <si>
    <t>HW #26</t>
  </si>
  <si>
    <t>HW #27</t>
  </si>
  <si>
    <t>HW #28</t>
  </si>
  <si>
    <t>HW #29 - Movie Essay</t>
  </si>
  <si>
    <t>Retro Mars Lab</t>
  </si>
  <si>
    <t>Elliptical Orbits Lab</t>
  </si>
  <si>
    <t>Sunspots Lab</t>
  </si>
  <si>
    <t>Constellations/Seasons Lab</t>
  </si>
  <si>
    <t>Spectroscope Lab</t>
  </si>
  <si>
    <t>HW #30</t>
  </si>
  <si>
    <t>Astronomy Exam</t>
  </si>
  <si>
    <t>Moon Phases WS</t>
  </si>
  <si>
    <t>HW #31</t>
  </si>
  <si>
    <t>Inconvenient Truth Mov. Essay</t>
  </si>
  <si>
    <t>Wx Plot HW</t>
  </si>
  <si>
    <t>Jan. '04 Regents MC HW</t>
  </si>
  <si>
    <t>Wx Plot Quiz #1</t>
  </si>
  <si>
    <t>Wx Plot Quiz #2</t>
  </si>
  <si>
    <t>Wx Plot Quiz #3</t>
  </si>
  <si>
    <t>Wx Plot Quiz #4</t>
  </si>
  <si>
    <t>Wx Plot Quiz #5</t>
  </si>
  <si>
    <t>Jan. '05 Regents MC HW</t>
  </si>
  <si>
    <t>Hurrican Tracking Lab</t>
  </si>
  <si>
    <t>Wx Station Lab</t>
  </si>
  <si>
    <t>Wx Patterns Lab</t>
  </si>
  <si>
    <t>Wx Quiz #6</t>
  </si>
  <si>
    <t>Wx Quiz #8</t>
  </si>
  <si>
    <t>June '04 Regents MC</t>
  </si>
  <si>
    <t>June '03 Regents MC</t>
  </si>
  <si>
    <t>June '05 Regents Full</t>
  </si>
  <si>
    <t>June '06 Regents Full</t>
  </si>
  <si>
    <t>Jan '06 Regents Full</t>
  </si>
  <si>
    <t>S</t>
  </si>
  <si>
    <t>N</t>
  </si>
  <si>
    <t>O</t>
  </si>
  <si>
    <t>W</t>
  </si>
  <si>
    <t>D</t>
  </si>
  <si>
    <t>A</t>
  </si>
  <si>
    <t>Y</t>
  </si>
  <si>
    <t>C</t>
  </si>
  <si>
    <t>H</t>
  </si>
  <si>
    <t>L</t>
  </si>
  <si>
    <t>M</t>
  </si>
  <si>
    <t>K</t>
  </si>
  <si>
    <t>WX WS (Blue)</t>
  </si>
  <si>
    <t>x</t>
  </si>
  <si>
    <t>Reg. Exam</t>
  </si>
  <si>
    <t>Final Wx WS</t>
  </si>
  <si>
    <t>29252-R</t>
  </si>
  <si>
    <t>\</t>
  </si>
  <si>
    <t>% Students Over 65:</t>
  </si>
  <si>
    <t>Students Ineligible:</t>
  </si>
  <si>
    <t>Students Already Passed Regents:</t>
  </si>
  <si>
    <t>Previously Passed Regents Exam</t>
  </si>
  <si>
    <t>Student #: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</si>
</sst>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1"/>
      <name val="Arial"/>
      <family val="2"/>
    </font>
    <font>
      <b/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left" textRotation="60"/>
    </xf>
    <xf numFmtId="0" fontId="9" fillId="11" borderId="0" xfId="0" applyFont="1" applyFill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7" borderId="3" xfId="0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1" fontId="6" fillId="7" borderId="3" xfId="0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6" fontId="0" fillId="10" borderId="8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0" xfId="0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0" xfId="0" applyFill="1" applyAlignment="1">
      <alignment horizontal="center"/>
    </xf>
    <xf numFmtId="16" fontId="14" fillId="11" borderId="8" xfId="0" applyNumberFormat="1" applyFont="1" applyFill="1" applyBorder="1" applyAlignment="1">
      <alignment horizontal="center"/>
    </xf>
    <xf numFmtId="16" fontId="0" fillId="10" borderId="8" xfId="0" applyNumberFormat="1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16" fontId="0" fillId="8" borderId="8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9" borderId="0" xfId="0" applyFont="1" applyFill="1" applyAlignment="1">
      <alignment horizontal="left" textRotation="60"/>
    </xf>
    <xf numFmtId="16" fontId="4" fillId="9" borderId="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" fontId="5" fillId="3" borderId="0" xfId="0" applyNumberFormat="1" applyFont="1" applyFill="1" applyAlignment="1">
      <alignment horizontal="center"/>
    </xf>
    <xf numFmtId="164" fontId="6" fillId="10" borderId="0" xfId="0" applyNumberFormat="1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12" fillId="11" borderId="0" xfId="0" applyFont="1" applyFill="1" applyAlignment="1">
      <alignment horizontal="left" textRotation="60"/>
    </xf>
    <xf numFmtId="16" fontId="12" fillId="11" borderId="0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164" fontId="18" fillId="10" borderId="2" xfId="0" applyNumberFormat="1" applyFont="1" applyFill="1" applyBorder="1" applyAlignment="1">
      <alignment horizontal="center"/>
    </xf>
    <xf numFmtId="164" fontId="17" fillId="1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textRotation="60"/>
    </xf>
    <xf numFmtId="16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" fontId="0" fillId="12" borderId="8" xfId="0" applyNumberForma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11" fillId="13" borderId="0" xfId="0" applyFont="1" applyFill="1" applyAlignment="1">
      <alignment horizontal="center" vertical="center" wrapText="1"/>
    </xf>
    <xf numFmtId="0" fontId="18" fillId="13" borderId="0" xfId="0" applyFont="1" applyFill="1" applyAlignment="1">
      <alignment horizontal="center"/>
    </xf>
    <xf numFmtId="16" fontId="11" fillId="13" borderId="0" xfId="0" applyNumberFormat="1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 textRotation="60" wrapText="1"/>
    </xf>
    <xf numFmtId="0" fontId="0" fillId="6" borderId="7" xfId="0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59" wrapText="1"/>
    </xf>
    <xf numFmtId="0" fontId="5" fillId="0" borderId="12" xfId="0" applyFont="1" applyFill="1" applyBorder="1" applyAlignment="1">
      <alignment horizontal="left" textRotation="59" wrapText="1"/>
    </xf>
    <xf numFmtId="0" fontId="5" fillId="9" borderId="12" xfId="0" applyFont="1" applyFill="1" applyBorder="1" applyAlignment="1">
      <alignment horizontal="left" textRotation="59" wrapText="1"/>
    </xf>
    <xf numFmtId="0" fontId="9" fillId="11" borderId="12" xfId="0" applyFont="1" applyFill="1" applyBorder="1" applyAlignment="1">
      <alignment horizontal="left" textRotation="59" wrapText="1"/>
    </xf>
    <xf numFmtId="0" fontId="5" fillId="0" borderId="12" xfId="0" applyFont="1" applyBorder="1" applyAlignment="1">
      <alignment textRotation="59" wrapText="1"/>
    </xf>
    <xf numFmtId="0" fontId="5" fillId="0" borderId="12" xfId="0" applyFont="1" applyFill="1" applyBorder="1" applyAlignment="1">
      <alignment textRotation="59" wrapText="1"/>
    </xf>
    <xf numFmtId="0" fontId="4" fillId="0" borderId="13" xfId="0" applyFont="1" applyFill="1" applyBorder="1" applyAlignment="1">
      <alignment horizontal="center" textRotation="59" wrapText="1"/>
    </xf>
    <xf numFmtId="0" fontId="5" fillId="0" borderId="13" xfId="0" applyFont="1" applyFill="1" applyBorder="1" applyAlignment="1">
      <alignment horizontal="center" textRotation="59" wrapText="1"/>
    </xf>
    <xf numFmtId="0" fontId="5" fillId="0" borderId="13" xfId="0" applyFont="1" applyBorder="1" applyAlignment="1">
      <alignment horizontal="center" textRotation="59" wrapText="1"/>
    </xf>
    <xf numFmtId="0" fontId="5" fillId="0" borderId="13" xfId="0" applyFont="1" applyBorder="1" applyAlignment="1">
      <alignment textRotation="59" wrapText="1"/>
    </xf>
    <xf numFmtId="0" fontId="0" fillId="5" borderId="0" xfId="0" applyFill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16" fontId="14" fillId="5" borderId="8" xfId="0" applyNumberFormat="1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16" fontId="0" fillId="5" borderId="8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1" fontId="9" fillId="7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8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textRotation="75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textRotation="75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542925</xdr:colOff>
      <xdr:row>6</xdr:row>
      <xdr:rowOff>66675</xdr:rowOff>
    </xdr:from>
    <xdr:to>
      <xdr:col>120</xdr:col>
      <xdr:colOff>466725</xdr:colOff>
      <xdr:row>14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5178325" y="942975"/>
          <a:ext cx="1933575" cy="14478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X-mas</a:t>
          </a:r>
        </a:p>
      </xdr:txBody>
    </xdr:sp>
    <xdr:clientData/>
  </xdr:twoCellAnchor>
  <xdr:twoCellAnchor>
    <xdr:from>
      <xdr:col>117</xdr:col>
      <xdr:colOff>552450</xdr:colOff>
      <xdr:row>11</xdr:row>
      <xdr:rowOff>66675</xdr:rowOff>
    </xdr:from>
    <xdr:to>
      <xdr:col>120</xdr:col>
      <xdr:colOff>476250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187850" y="1847850"/>
          <a:ext cx="1933575" cy="1743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Break!!</a:t>
          </a:r>
        </a:p>
      </xdr:txBody>
    </xdr:sp>
    <xdr:clientData/>
  </xdr:twoCellAnchor>
  <xdr:twoCellAnchor>
    <xdr:from>
      <xdr:col>147</xdr:col>
      <xdr:colOff>0</xdr:colOff>
      <xdr:row>7</xdr:row>
      <xdr:rowOff>19050</xdr:rowOff>
    </xdr:from>
    <xdr:to>
      <xdr:col>150</xdr:col>
      <xdr:colOff>485775</xdr:colOff>
      <xdr:row>18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68760975" y="1076325"/>
          <a:ext cx="2209800" cy="20288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Regents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workbookViewId="0" topLeftCell="A13">
      <selection activeCell="C15" sqref="C15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5" width="4.57421875" style="3" customWidth="1"/>
    <col min="6" max="13" width="4.57421875" style="28" customWidth="1"/>
    <col min="14" max="23" width="4.57421875" style="3" customWidth="1"/>
    <col min="24" max="36" width="4.57421875" style="4" customWidth="1"/>
    <col min="37" max="37" width="4.57421875" style="14" customWidth="1"/>
    <col min="38" max="41" width="4.57421875" style="4" customWidth="1"/>
    <col min="42" max="42" width="1.1484375" style="4" customWidth="1"/>
    <col min="43" max="43" width="5.8515625" style="4" hidden="1" customWidth="1"/>
    <col min="44" max="49" width="4.28125" style="4" hidden="1" customWidth="1"/>
    <col min="50" max="52" width="5.8515625" style="4" hidden="1" customWidth="1"/>
    <col min="53" max="53" width="4.28125" style="4" hidden="1" customWidth="1"/>
    <col min="54" max="55" width="5.8515625" style="4" hidden="1" customWidth="1"/>
    <col min="56" max="56" width="8.421875" style="4" hidden="1" customWidth="1"/>
    <col min="57" max="57" width="9.00390625" style="4" hidden="1" customWidth="1"/>
    <col min="58" max="58" width="8.421875" style="4" hidden="1" customWidth="1"/>
    <col min="59" max="60" width="6.28125" style="4" hidden="1" customWidth="1"/>
    <col min="61" max="61" width="14.7109375" style="4" hidden="1" customWidth="1"/>
    <col min="62" max="62" width="4.8515625" style="4" customWidth="1"/>
    <col min="63" max="63" width="8.00390625" style="14" customWidth="1"/>
    <col min="64" max="64" width="18.8515625" style="3" customWidth="1"/>
    <col min="65" max="65" width="9.00390625" style="3" customWidth="1"/>
    <col min="66" max="66" width="16.140625" style="23" customWidth="1"/>
    <col min="67" max="67" width="6.7109375" style="30" customWidth="1"/>
    <col min="68" max="68" width="1.421875" style="0" customWidth="1"/>
    <col min="69" max="74" width="5.7109375" style="4" customWidth="1"/>
    <col min="75" max="75" width="15.00390625" style="4" customWidth="1"/>
    <col min="76" max="76" width="5.7109375" style="4" customWidth="1"/>
    <col min="77" max="77" width="19.140625" style="4" customWidth="1"/>
    <col min="78" max="102" width="9.140625" style="2" customWidth="1"/>
  </cols>
  <sheetData>
    <row r="1" spans="4:102" ht="12.75">
      <c r="D1" s="7"/>
      <c r="F1" s="169" t="s">
        <v>33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91"/>
      <c r="AB1" s="14"/>
      <c r="AC1" s="14"/>
      <c r="AD1" s="14"/>
      <c r="AE1" s="14"/>
      <c r="AF1" s="14"/>
      <c r="AG1" s="14"/>
      <c r="AH1" s="14"/>
      <c r="AI1" s="14"/>
      <c r="AJ1" s="14"/>
      <c r="AK1" s="11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/>
      <c r="BD1"/>
      <c r="BE1"/>
      <c r="BF1"/>
      <c r="BG1"/>
      <c r="BH1"/>
      <c r="BI1"/>
      <c r="BJ1"/>
      <c r="BK1"/>
      <c r="BL1"/>
      <c r="BM1"/>
      <c r="BN1"/>
      <c r="BO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63" ht="12.75">
      <c r="A2" s="16"/>
      <c r="B2" s="17" t="s">
        <v>1</v>
      </c>
      <c r="C2" s="4"/>
      <c r="D2" s="4"/>
      <c r="E2" s="4"/>
      <c r="Z2" s="5" t="s">
        <v>31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101"/>
      <c r="AL2" s="5"/>
      <c r="BK2" s="11"/>
    </row>
    <row r="3" spans="1:63" ht="12.75">
      <c r="A3" s="11" t="s">
        <v>13</v>
      </c>
      <c r="B3" s="17" t="s">
        <v>15</v>
      </c>
      <c r="C3" s="4"/>
      <c r="D3" s="4"/>
      <c r="E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01"/>
      <c r="AL3" s="5"/>
      <c r="BK3" s="11"/>
    </row>
    <row r="4" spans="1:63" ht="12.75">
      <c r="A4" s="26"/>
      <c r="B4" s="17" t="s">
        <v>10</v>
      </c>
      <c r="C4" s="4"/>
      <c r="D4" s="4"/>
      <c r="E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01"/>
      <c r="AL4" s="5"/>
      <c r="BK4" s="11"/>
    </row>
    <row r="5" spans="1:63" ht="12.75">
      <c r="A5" s="15"/>
      <c r="B5" s="17" t="s">
        <v>3</v>
      </c>
      <c r="C5" s="4"/>
      <c r="D5" s="4"/>
      <c r="E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01"/>
      <c r="AL5" s="5"/>
      <c r="BK5" s="11"/>
    </row>
    <row r="6" spans="1:63" ht="12.75">
      <c r="A6" s="24"/>
      <c r="B6" s="17" t="s">
        <v>9</v>
      </c>
      <c r="C6" s="4"/>
      <c r="D6" s="4"/>
      <c r="E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101"/>
      <c r="AL6" s="5"/>
      <c r="BK6" s="11"/>
    </row>
    <row r="7" spans="1:63" ht="12.75">
      <c r="A7" s="22"/>
      <c r="B7" s="17" t="s">
        <v>8</v>
      </c>
      <c r="C7" s="4"/>
      <c r="D7" s="4"/>
      <c r="E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01"/>
      <c r="AL7" s="5"/>
      <c r="BK7" s="11"/>
    </row>
    <row r="8" spans="1:63" ht="12.75">
      <c r="A8" s="18"/>
      <c r="B8" s="17" t="s">
        <v>14</v>
      </c>
      <c r="C8" s="4"/>
      <c r="D8" s="4"/>
      <c r="E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01"/>
      <c r="AL8" s="5"/>
      <c r="BK8" s="11"/>
    </row>
    <row r="9" spans="1:63" ht="12.75">
      <c r="A9" s="19"/>
      <c r="B9" s="17" t="s">
        <v>4</v>
      </c>
      <c r="C9" s="4"/>
      <c r="D9" s="4"/>
      <c r="E9" s="4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01"/>
      <c r="AL9" s="5"/>
      <c r="BK9" s="11"/>
    </row>
    <row r="10" spans="1:63" ht="12.75">
      <c r="A10" s="20"/>
      <c r="B10" s="17" t="s">
        <v>5</v>
      </c>
      <c r="C10" s="4"/>
      <c r="D10" s="4"/>
      <c r="E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01"/>
      <c r="AL10" s="5"/>
      <c r="BK10" s="11"/>
    </row>
    <row r="11" spans="1:102" s="78" customFormat="1" ht="158.25" customHeight="1">
      <c r="A11" s="7"/>
      <c r="B11" s="29"/>
      <c r="C11" s="29" t="s">
        <v>11</v>
      </c>
      <c r="D11" s="25" t="s">
        <v>69</v>
      </c>
      <c r="E11" s="83" t="s">
        <v>78</v>
      </c>
      <c r="F11" s="25" t="s">
        <v>85</v>
      </c>
      <c r="G11" s="25" t="s">
        <v>86</v>
      </c>
      <c r="H11" s="25" t="s">
        <v>87</v>
      </c>
      <c r="I11" s="25" t="s">
        <v>88</v>
      </c>
      <c r="J11" s="25" t="s">
        <v>89</v>
      </c>
      <c r="K11" s="83" t="s">
        <v>80</v>
      </c>
      <c r="L11" s="83" t="s">
        <v>81</v>
      </c>
      <c r="M11" s="25" t="s">
        <v>90</v>
      </c>
      <c r="N11" s="25" t="s">
        <v>91</v>
      </c>
      <c r="O11" s="25" t="s">
        <v>92</v>
      </c>
      <c r="P11" s="25" t="s">
        <v>93</v>
      </c>
      <c r="Q11" s="25" t="s">
        <v>96</v>
      </c>
      <c r="R11" s="25" t="s">
        <v>94</v>
      </c>
      <c r="S11" s="25" t="s">
        <v>99</v>
      </c>
      <c r="T11" s="25" t="s">
        <v>103</v>
      </c>
      <c r="U11" s="83" t="s">
        <v>95</v>
      </c>
      <c r="V11" s="83" t="s">
        <v>97</v>
      </c>
      <c r="W11" s="25" t="s">
        <v>98</v>
      </c>
      <c r="X11" s="25" t="s">
        <v>102</v>
      </c>
      <c r="Y11" s="25" t="s">
        <v>100</v>
      </c>
      <c r="Z11" s="25" t="s">
        <v>101</v>
      </c>
      <c r="AA11" s="25" t="s">
        <v>104</v>
      </c>
      <c r="AB11" s="83" t="s">
        <v>105</v>
      </c>
      <c r="AC11" s="25" t="s">
        <v>103</v>
      </c>
      <c r="AD11" s="83" t="s">
        <v>107</v>
      </c>
      <c r="AE11" s="83" t="s">
        <v>108</v>
      </c>
      <c r="AF11" s="25" t="s">
        <v>111</v>
      </c>
      <c r="AG11" s="83" t="s">
        <v>112</v>
      </c>
      <c r="AH11" s="25" t="s">
        <v>113</v>
      </c>
      <c r="AI11" s="25" t="s">
        <v>109</v>
      </c>
      <c r="AJ11" s="83" t="s">
        <v>110</v>
      </c>
      <c r="AK11" s="25" t="s">
        <v>115</v>
      </c>
      <c r="AL11" s="93" t="s">
        <v>106</v>
      </c>
      <c r="AM11" s="83" t="s">
        <v>114</v>
      </c>
      <c r="AN11" s="25" t="s">
        <v>117</v>
      </c>
      <c r="AO11" s="25" t="s">
        <v>118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35" t="s">
        <v>20</v>
      </c>
      <c r="BK11" s="12"/>
      <c r="BL11" s="7"/>
      <c r="BM11" s="7"/>
      <c r="BN11" s="23"/>
      <c r="BO11" s="23"/>
      <c r="BQ11" s="170" t="s">
        <v>21</v>
      </c>
      <c r="BR11" s="170" t="s">
        <v>22</v>
      </c>
      <c r="BS11" s="170" t="s">
        <v>23</v>
      </c>
      <c r="BT11" s="170" t="s">
        <v>24</v>
      </c>
      <c r="BU11" s="170" t="s">
        <v>25</v>
      </c>
      <c r="BV11" s="170" t="s">
        <v>29</v>
      </c>
      <c r="BW11" s="172" t="s">
        <v>28</v>
      </c>
      <c r="BX11" s="170" t="s">
        <v>27</v>
      </c>
      <c r="BY11" s="170" t="s">
        <v>26</v>
      </c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</row>
    <row r="12" spans="1:102" s="8" customFormat="1" ht="28.5" customHeight="1">
      <c r="A12" s="6"/>
      <c r="B12" s="29"/>
      <c r="C12" s="29" t="s">
        <v>12</v>
      </c>
      <c r="D12" s="58">
        <v>38967</v>
      </c>
      <c r="E12" s="84">
        <v>38968</v>
      </c>
      <c r="F12" s="58">
        <v>38968</v>
      </c>
      <c r="G12" s="58">
        <v>38969</v>
      </c>
      <c r="H12" s="58">
        <v>38971</v>
      </c>
      <c r="I12" s="58">
        <v>38972</v>
      </c>
      <c r="J12" s="58">
        <v>38974</v>
      </c>
      <c r="K12" s="84">
        <v>38975</v>
      </c>
      <c r="L12" s="84">
        <v>38975</v>
      </c>
      <c r="M12" s="58">
        <v>38975</v>
      </c>
      <c r="N12" s="58">
        <v>38973</v>
      </c>
      <c r="O12" s="58">
        <v>38975</v>
      </c>
      <c r="P12" s="58">
        <v>38975</v>
      </c>
      <c r="Q12" s="58">
        <v>38978</v>
      </c>
      <c r="R12" s="58">
        <v>38978</v>
      </c>
      <c r="S12" s="58">
        <v>38981</v>
      </c>
      <c r="T12" s="58">
        <v>38985</v>
      </c>
      <c r="U12" s="84">
        <v>38982</v>
      </c>
      <c r="V12" s="84">
        <v>38982</v>
      </c>
      <c r="W12" s="58">
        <v>38986</v>
      </c>
      <c r="X12" s="58">
        <v>38985</v>
      </c>
      <c r="Y12" s="58">
        <v>38986</v>
      </c>
      <c r="Z12" s="58">
        <v>38986</v>
      </c>
      <c r="AA12" s="58">
        <v>38987</v>
      </c>
      <c r="AB12" s="84">
        <v>38987</v>
      </c>
      <c r="AC12" s="58">
        <v>38987</v>
      </c>
      <c r="AD12" s="84">
        <v>38993</v>
      </c>
      <c r="AE12" s="84">
        <v>38993</v>
      </c>
      <c r="AF12" s="58">
        <v>38989</v>
      </c>
      <c r="AG12" s="84">
        <v>38992</v>
      </c>
      <c r="AH12" s="58">
        <v>38994</v>
      </c>
      <c r="AI12" s="58">
        <v>38994</v>
      </c>
      <c r="AJ12" s="84">
        <v>38996</v>
      </c>
      <c r="AK12" s="102">
        <v>38995</v>
      </c>
      <c r="AL12" s="94">
        <v>38996</v>
      </c>
      <c r="AM12" s="84">
        <v>39002</v>
      </c>
      <c r="AN12" s="58">
        <v>39002</v>
      </c>
      <c r="AO12" s="58">
        <v>39002</v>
      </c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36"/>
      <c r="BK12" s="88" t="s">
        <v>84</v>
      </c>
      <c r="BL12" s="6"/>
      <c r="BM12" s="6"/>
      <c r="BN12" s="23" t="s">
        <v>16</v>
      </c>
      <c r="BO12" s="23"/>
      <c r="BQ12" s="171"/>
      <c r="BR12" s="171"/>
      <c r="BS12" s="171"/>
      <c r="BT12" s="171"/>
      <c r="BU12" s="171"/>
      <c r="BV12" s="171"/>
      <c r="BW12" s="173"/>
      <c r="BX12" s="171"/>
      <c r="BY12" s="171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29.25" customHeight="1" thickBot="1">
      <c r="A13" s="9" t="s">
        <v>2</v>
      </c>
      <c r="B13" s="9" t="s">
        <v>6</v>
      </c>
      <c r="C13" s="109" t="s">
        <v>70</v>
      </c>
      <c r="D13" s="10">
        <v>25</v>
      </c>
      <c r="E13" s="85">
        <v>50</v>
      </c>
      <c r="F13" s="10">
        <v>10</v>
      </c>
      <c r="G13" s="10">
        <v>20</v>
      </c>
      <c r="H13" s="10">
        <v>10</v>
      </c>
      <c r="I13" s="10"/>
      <c r="J13" s="10">
        <v>24</v>
      </c>
      <c r="K13" s="85">
        <v>50</v>
      </c>
      <c r="L13" s="85">
        <v>150</v>
      </c>
      <c r="M13" s="10">
        <v>20</v>
      </c>
      <c r="N13" s="10">
        <v>30</v>
      </c>
      <c r="O13" s="10">
        <v>25</v>
      </c>
      <c r="P13" s="10">
        <v>25</v>
      </c>
      <c r="Q13" s="10">
        <v>50</v>
      </c>
      <c r="R13" s="10">
        <v>20</v>
      </c>
      <c r="S13" s="10">
        <v>45</v>
      </c>
      <c r="T13" s="10">
        <v>50</v>
      </c>
      <c r="U13" s="85">
        <v>100</v>
      </c>
      <c r="V13" s="85">
        <v>100</v>
      </c>
      <c r="W13" s="10">
        <v>25</v>
      </c>
      <c r="X13" s="10">
        <v>30</v>
      </c>
      <c r="Y13" s="10">
        <v>30</v>
      </c>
      <c r="Z13" s="10">
        <v>40</v>
      </c>
      <c r="AA13" s="10">
        <v>30</v>
      </c>
      <c r="AB13" s="85">
        <v>50</v>
      </c>
      <c r="AC13" s="10">
        <v>20</v>
      </c>
      <c r="AD13" s="85">
        <v>50</v>
      </c>
      <c r="AE13" s="85">
        <v>50</v>
      </c>
      <c r="AF13" s="10">
        <v>20</v>
      </c>
      <c r="AG13" s="85">
        <v>50</v>
      </c>
      <c r="AH13" s="10">
        <v>25</v>
      </c>
      <c r="AI13" s="10">
        <v>60</v>
      </c>
      <c r="AJ13" s="85">
        <v>50</v>
      </c>
      <c r="AK13" s="13">
        <v>65</v>
      </c>
      <c r="AL13" s="95">
        <v>210</v>
      </c>
      <c r="AM13" s="85">
        <v>100</v>
      </c>
      <c r="AN13" s="10"/>
      <c r="AO13" s="10">
        <v>130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37"/>
      <c r="BK13" s="13">
        <f>SUM(D13:BJ13)</f>
        <v>1839</v>
      </c>
      <c r="BL13" s="9" t="s">
        <v>6</v>
      </c>
      <c r="BM13" s="9" t="s">
        <v>2</v>
      </c>
      <c r="BN13" s="31" t="s">
        <v>17</v>
      </c>
      <c r="BO13" s="31" t="s">
        <v>18</v>
      </c>
      <c r="BQ13" s="171"/>
      <c r="BR13" s="171"/>
      <c r="BS13" s="171"/>
      <c r="BT13" s="171"/>
      <c r="BU13" s="171"/>
      <c r="BV13" s="171"/>
      <c r="BW13" s="173"/>
      <c r="BX13" s="171"/>
      <c r="BY13" s="171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77" ht="15" customHeight="1" thickTop="1">
      <c r="A14" s="7">
        <v>11691</v>
      </c>
      <c r="B14" s="7"/>
      <c r="C14" s="7"/>
      <c r="D14" s="7">
        <v>25</v>
      </c>
      <c r="E14" s="87">
        <v>24</v>
      </c>
      <c r="F14" s="7">
        <v>7</v>
      </c>
      <c r="G14" s="7">
        <v>17</v>
      </c>
      <c r="H14" s="7">
        <v>6</v>
      </c>
      <c r="I14" s="7">
        <v>6</v>
      </c>
      <c r="J14" s="7">
        <v>9</v>
      </c>
      <c r="K14" s="86">
        <v>39</v>
      </c>
      <c r="L14" s="86">
        <v>148</v>
      </c>
      <c r="M14" s="7">
        <v>17</v>
      </c>
      <c r="N14" s="7">
        <v>30</v>
      </c>
      <c r="O14" s="81">
        <v>0</v>
      </c>
      <c r="P14" s="7">
        <v>21</v>
      </c>
      <c r="Q14" s="81">
        <v>0</v>
      </c>
      <c r="R14" s="82" t="s">
        <v>77</v>
      </c>
      <c r="S14" s="81">
        <v>0</v>
      </c>
      <c r="T14" s="7">
        <v>50</v>
      </c>
      <c r="U14" s="86">
        <v>86</v>
      </c>
      <c r="V14" s="86">
        <v>80</v>
      </c>
      <c r="W14" s="7">
        <v>15</v>
      </c>
      <c r="X14" s="81">
        <v>0</v>
      </c>
      <c r="Y14" s="7">
        <v>30</v>
      </c>
      <c r="Z14" s="7">
        <v>40</v>
      </c>
      <c r="AA14" s="7">
        <v>15</v>
      </c>
      <c r="AB14" s="86">
        <v>36</v>
      </c>
      <c r="AC14" s="7">
        <v>18</v>
      </c>
      <c r="AD14" s="98">
        <v>20</v>
      </c>
      <c r="AE14" s="86">
        <v>50</v>
      </c>
      <c r="AF14" s="7">
        <v>13</v>
      </c>
      <c r="AG14" s="97">
        <v>37</v>
      </c>
      <c r="AH14" s="99" t="s">
        <v>77</v>
      </c>
      <c r="AI14" s="7">
        <v>60</v>
      </c>
      <c r="AJ14" s="86">
        <v>46</v>
      </c>
      <c r="AK14" s="20">
        <v>0</v>
      </c>
      <c r="AL14" s="96">
        <v>108</v>
      </c>
      <c r="AM14" s="82" t="s">
        <v>77</v>
      </c>
      <c r="AN14" s="7">
        <v>46</v>
      </c>
      <c r="AO14" s="7">
        <v>30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38">
        <v>1</v>
      </c>
      <c r="BK14" s="27">
        <f>((SUM(D14:BJ14))/(BK13-145))*100</f>
        <v>66.7060212514758</v>
      </c>
      <c r="BL14" s="7"/>
      <c r="BM14" s="7">
        <v>11691</v>
      </c>
      <c r="BN14" s="32">
        <v>12</v>
      </c>
      <c r="BO14" s="34">
        <f aca="true" t="shared" si="0" ref="BO14:BO34">SUM(BN14:BN14)</f>
        <v>12</v>
      </c>
      <c r="BQ14" s="41">
        <f>BK14</f>
        <v>66.7060212514758</v>
      </c>
      <c r="BR14" s="40"/>
      <c r="BS14" s="41"/>
      <c r="BT14" s="43"/>
      <c r="BU14" s="43"/>
      <c r="BV14" s="46"/>
      <c r="BW14" s="42"/>
      <c r="BX14" s="45"/>
      <c r="BY14" s="44"/>
    </row>
    <row r="15" spans="1:77" ht="15" customHeight="1">
      <c r="A15" s="7" t="s">
        <v>37</v>
      </c>
      <c r="B15" s="7"/>
      <c r="C15" s="7"/>
      <c r="D15" s="7">
        <v>25</v>
      </c>
      <c r="E15" s="86">
        <v>50</v>
      </c>
      <c r="F15" s="7">
        <v>10</v>
      </c>
      <c r="G15" s="7">
        <v>10</v>
      </c>
      <c r="H15" s="7">
        <v>9</v>
      </c>
      <c r="I15" s="7">
        <v>2</v>
      </c>
      <c r="J15" s="7">
        <v>24</v>
      </c>
      <c r="K15" s="81">
        <v>0</v>
      </c>
      <c r="L15" s="86">
        <v>140</v>
      </c>
      <c r="M15" s="7">
        <v>20</v>
      </c>
      <c r="N15" s="7">
        <v>30</v>
      </c>
      <c r="O15" s="7">
        <v>25</v>
      </c>
      <c r="P15" s="7">
        <v>25</v>
      </c>
      <c r="Q15" s="7">
        <v>47</v>
      </c>
      <c r="R15" s="7">
        <v>17</v>
      </c>
      <c r="S15" s="7">
        <v>35</v>
      </c>
      <c r="T15" s="7">
        <v>50</v>
      </c>
      <c r="U15" s="86">
        <v>84</v>
      </c>
      <c r="V15" s="86">
        <v>82</v>
      </c>
      <c r="W15" s="82" t="s">
        <v>77</v>
      </c>
      <c r="X15" s="81">
        <v>0</v>
      </c>
      <c r="Y15" s="82" t="s">
        <v>77</v>
      </c>
      <c r="Z15" s="7">
        <v>40</v>
      </c>
      <c r="AA15" s="7">
        <v>21</v>
      </c>
      <c r="AB15" s="86">
        <v>36</v>
      </c>
      <c r="AC15" s="7">
        <v>16</v>
      </c>
      <c r="AD15" s="86">
        <v>39</v>
      </c>
      <c r="AE15" s="86">
        <v>50</v>
      </c>
      <c r="AF15" s="7">
        <v>20</v>
      </c>
      <c r="AG15" s="97">
        <v>36</v>
      </c>
      <c r="AH15" s="52">
        <v>20</v>
      </c>
      <c r="AI15" s="7">
        <v>55</v>
      </c>
      <c r="AJ15" s="86">
        <v>46</v>
      </c>
      <c r="AK15" s="20">
        <v>0</v>
      </c>
      <c r="AL15" s="96">
        <v>87</v>
      </c>
      <c r="AM15" s="86">
        <v>83</v>
      </c>
      <c r="AN15" s="7">
        <v>30</v>
      </c>
      <c r="AO15" s="7">
        <v>17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38">
        <v>3</v>
      </c>
      <c r="BK15" s="27">
        <f>(((SUM(D15:BJ15))/(BK13-55))*100)</f>
        <v>71.97309417040358</v>
      </c>
      <c r="BL15" s="7"/>
      <c r="BM15" s="7" t="s">
        <v>37</v>
      </c>
      <c r="BN15" s="32">
        <v>15</v>
      </c>
      <c r="BO15" s="34">
        <f t="shared" si="0"/>
        <v>15</v>
      </c>
      <c r="BQ15" s="41">
        <f aca="true" t="shared" si="1" ref="BQ15:BQ36">BK15</f>
        <v>71.97309417040358</v>
      </c>
      <c r="BR15" s="40"/>
      <c r="BS15" s="41"/>
      <c r="BT15" s="43"/>
      <c r="BU15" s="43"/>
      <c r="BV15" s="46"/>
      <c r="BW15" s="42"/>
      <c r="BX15" s="45"/>
      <c r="BY15" s="44"/>
    </row>
    <row r="16" spans="1:77" s="2" customFormat="1" ht="15" customHeight="1">
      <c r="A16" s="7" t="s">
        <v>38</v>
      </c>
      <c r="B16" s="7"/>
      <c r="C16" s="7"/>
      <c r="D16" s="7">
        <v>25</v>
      </c>
      <c r="E16" s="86">
        <v>39</v>
      </c>
      <c r="F16" s="7">
        <v>10</v>
      </c>
      <c r="G16" s="7">
        <v>18</v>
      </c>
      <c r="H16" s="7">
        <v>10</v>
      </c>
      <c r="I16" s="7">
        <v>6</v>
      </c>
      <c r="J16" s="7">
        <v>24</v>
      </c>
      <c r="K16" s="97">
        <v>44</v>
      </c>
      <c r="L16" s="86">
        <v>131</v>
      </c>
      <c r="M16" s="7">
        <v>19</v>
      </c>
      <c r="N16" s="81">
        <v>0</v>
      </c>
      <c r="O16" s="81">
        <v>0</v>
      </c>
      <c r="P16" s="7">
        <v>19</v>
      </c>
      <c r="Q16" s="81">
        <v>0</v>
      </c>
      <c r="R16" s="7">
        <v>16</v>
      </c>
      <c r="S16" s="81">
        <v>0</v>
      </c>
      <c r="T16" s="7">
        <v>50</v>
      </c>
      <c r="U16" s="86">
        <v>68</v>
      </c>
      <c r="V16" s="97">
        <v>81</v>
      </c>
      <c r="W16" s="7">
        <v>20</v>
      </c>
      <c r="X16" s="81">
        <v>0</v>
      </c>
      <c r="Y16" s="7">
        <v>30</v>
      </c>
      <c r="Z16" s="81">
        <v>0</v>
      </c>
      <c r="AA16" s="7">
        <v>30</v>
      </c>
      <c r="AB16" s="86">
        <v>47</v>
      </c>
      <c r="AC16" s="7">
        <v>14</v>
      </c>
      <c r="AD16" s="92">
        <v>0</v>
      </c>
      <c r="AE16" s="86">
        <v>46</v>
      </c>
      <c r="AF16" s="7">
        <v>17</v>
      </c>
      <c r="AG16" s="92">
        <v>0</v>
      </c>
      <c r="AH16" s="52">
        <v>24</v>
      </c>
      <c r="AI16" s="7">
        <v>20</v>
      </c>
      <c r="AJ16" s="86">
        <v>42</v>
      </c>
      <c r="AK16" s="20">
        <v>0</v>
      </c>
      <c r="AL16" s="96">
        <v>159</v>
      </c>
      <c r="AM16" s="87">
        <v>64</v>
      </c>
      <c r="AN16" s="7"/>
      <c r="AO16" s="81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38"/>
      <c r="BK16" s="89">
        <f>((SUM(D16:BJ16))/(BK13-0))*100+2</f>
        <v>60.34692767808591</v>
      </c>
      <c r="BL16" s="7"/>
      <c r="BM16" s="7" t="s">
        <v>38</v>
      </c>
      <c r="BN16" s="32">
        <v>12</v>
      </c>
      <c r="BO16" s="34">
        <f t="shared" si="0"/>
        <v>12</v>
      </c>
      <c r="BQ16" s="41">
        <f t="shared" si="1"/>
        <v>60.34692767808591</v>
      </c>
      <c r="BR16" s="40"/>
      <c r="BS16" s="41"/>
      <c r="BT16" s="43"/>
      <c r="BU16" s="43"/>
      <c r="BV16" s="46"/>
      <c r="BW16" s="42"/>
      <c r="BX16" s="45"/>
      <c r="BY16" s="44"/>
    </row>
    <row r="17" spans="1:77" s="2" customFormat="1" ht="15" customHeight="1">
      <c r="A17" s="7">
        <v>10159</v>
      </c>
      <c r="B17" s="7"/>
      <c r="C17" s="7"/>
      <c r="D17" s="81">
        <v>0</v>
      </c>
      <c r="E17" s="86">
        <v>50</v>
      </c>
      <c r="F17" s="7">
        <v>10</v>
      </c>
      <c r="G17" s="7">
        <v>18</v>
      </c>
      <c r="H17" s="7">
        <v>10</v>
      </c>
      <c r="I17" s="81">
        <v>0</v>
      </c>
      <c r="J17" s="7">
        <v>17</v>
      </c>
      <c r="K17" s="81">
        <v>0</v>
      </c>
      <c r="L17" s="86">
        <v>113</v>
      </c>
      <c r="M17" s="7">
        <v>16</v>
      </c>
      <c r="N17" s="81">
        <v>0</v>
      </c>
      <c r="O17" s="7">
        <v>10</v>
      </c>
      <c r="P17" s="7">
        <v>25</v>
      </c>
      <c r="Q17" s="7">
        <v>39</v>
      </c>
      <c r="R17" s="82" t="s">
        <v>77</v>
      </c>
      <c r="S17" s="7">
        <v>30</v>
      </c>
      <c r="T17" s="7">
        <v>50</v>
      </c>
      <c r="U17" s="86">
        <v>86</v>
      </c>
      <c r="V17" s="86">
        <v>89</v>
      </c>
      <c r="W17" s="7">
        <v>10</v>
      </c>
      <c r="X17" s="7">
        <v>12</v>
      </c>
      <c r="Y17" s="7">
        <v>30</v>
      </c>
      <c r="Z17" s="7">
        <v>35</v>
      </c>
      <c r="AA17" s="7">
        <v>24</v>
      </c>
      <c r="AB17" s="86">
        <v>33</v>
      </c>
      <c r="AC17" s="7">
        <v>16</v>
      </c>
      <c r="AD17" s="92">
        <v>0</v>
      </c>
      <c r="AE17" s="86">
        <v>36</v>
      </c>
      <c r="AF17" s="7">
        <v>17</v>
      </c>
      <c r="AG17" s="7">
        <v>16</v>
      </c>
      <c r="AH17" s="52">
        <v>20</v>
      </c>
      <c r="AI17" s="7">
        <v>55</v>
      </c>
      <c r="AJ17" s="86">
        <v>38</v>
      </c>
      <c r="AK17" s="20">
        <v>0</v>
      </c>
      <c r="AL17" s="96">
        <v>112</v>
      </c>
      <c r="AM17" s="132">
        <v>0</v>
      </c>
      <c r="AN17" s="7"/>
      <c r="AO17" s="81">
        <v>0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38"/>
      <c r="BK17" s="89">
        <f>((SUM(D17:BJ17))/(BK13-20))*100</f>
        <v>55.90984057174272</v>
      </c>
      <c r="BL17" s="7"/>
      <c r="BM17" s="7">
        <v>10159</v>
      </c>
      <c r="BN17" s="32">
        <v>11</v>
      </c>
      <c r="BO17" s="34">
        <f t="shared" si="0"/>
        <v>11</v>
      </c>
      <c r="BQ17" s="41">
        <f t="shared" si="1"/>
        <v>55.90984057174272</v>
      </c>
      <c r="BR17" s="40"/>
      <c r="BS17" s="41"/>
      <c r="BT17" s="43"/>
      <c r="BU17" s="43"/>
      <c r="BV17" s="46"/>
      <c r="BW17" s="42"/>
      <c r="BX17" s="45"/>
      <c r="BY17" s="44"/>
    </row>
    <row r="18" spans="1:77" s="2" customFormat="1" ht="15" customHeight="1">
      <c r="A18" s="7" t="s">
        <v>39</v>
      </c>
      <c r="B18" s="7"/>
      <c r="C18" s="7"/>
      <c r="D18" s="7">
        <v>25</v>
      </c>
      <c r="E18" s="82" t="s">
        <v>77</v>
      </c>
      <c r="F18" s="82" t="s">
        <v>77</v>
      </c>
      <c r="G18" s="82" t="s">
        <v>77</v>
      </c>
      <c r="H18" s="82" t="s">
        <v>77</v>
      </c>
      <c r="I18" s="81">
        <v>0</v>
      </c>
      <c r="J18" s="7">
        <v>19</v>
      </c>
      <c r="K18" s="86">
        <v>45</v>
      </c>
      <c r="L18" s="86">
        <v>145</v>
      </c>
      <c r="M18" s="7">
        <v>20</v>
      </c>
      <c r="N18" s="81">
        <v>0</v>
      </c>
      <c r="O18" s="81">
        <v>0</v>
      </c>
      <c r="P18" s="7">
        <v>18</v>
      </c>
      <c r="Q18" s="7">
        <v>43</v>
      </c>
      <c r="R18" s="7">
        <v>18</v>
      </c>
      <c r="S18" s="7">
        <v>45</v>
      </c>
      <c r="T18" s="81">
        <v>0</v>
      </c>
      <c r="U18" s="86">
        <v>90</v>
      </c>
      <c r="V18" s="92">
        <v>0</v>
      </c>
      <c r="W18" s="7">
        <v>5</v>
      </c>
      <c r="X18" s="81">
        <v>0</v>
      </c>
      <c r="Y18" s="7">
        <v>30</v>
      </c>
      <c r="Z18" s="81">
        <v>0</v>
      </c>
      <c r="AA18" s="7">
        <v>21</v>
      </c>
      <c r="AB18" s="86">
        <v>38</v>
      </c>
      <c r="AC18" s="7">
        <v>16</v>
      </c>
      <c r="AD18" s="92">
        <v>0</v>
      </c>
      <c r="AE18" s="97">
        <v>43</v>
      </c>
      <c r="AF18" s="7">
        <v>12</v>
      </c>
      <c r="AG18" s="92">
        <v>0</v>
      </c>
      <c r="AH18" s="52">
        <v>19</v>
      </c>
      <c r="AI18" s="81">
        <v>0</v>
      </c>
      <c r="AJ18" s="86">
        <v>41</v>
      </c>
      <c r="AK18" s="20">
        <v>0</v>
      </c>
      <c r="AL18" s="96">
        <v>167</v>
      </c>
      <c r="AM18" s="86">
        <v>97</v>
      </c>
      <c r="AN18" s="7"/>
      <c r="AO18" s="82" t="s">
        <v>77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38"/>
      <c r="BK18" s="89">
        <f>((SUM(D18:BJ18))/(BK13-220))*100+1</f>
        <v>60.110562075355155</v>
      </c>
      <c r="BL18" s="7"/>
      <c r="BM18" s="7" t="s">
        <v>39</v>
      </c>
      <c r="BN18" s="32">
        <v>11</v>
      </c>
      <c r="BO18" s="34">
        <f t="shared" si="0"/>
        <v>11</v>
      </c>
      <c r="BQ18" s="41">
        <f t="shared" si="1"/>
        <v>60.110562075355155</v>
      </c>
      <c r="BR18" s="40"/>
      <c r="BS18" s="41"/>
      <c r="BT18" s="43"/>
      <c r="BU18" s="43"/>
      <c r="BV18" s="46"/>
      <c r="BW18" s="42"/>
      <c r="BX18" s="45"/>
      <c r="BY18" s="44"/>
    </row>
    <row r="19" spans="1:77" s="2" customFormat="1" ht="15" customHeight="1">
      <c r="A19" s="7" t="s">
        <v>40</v>
      </c>
      <c r="B19" s="7"/>
      <c r="C19" s="7"/>
      <c r="D19" s="7">
        <v>25</v>
      </c>
      <c r="E19" s="86">
        <v>46</v>
      </c>
      <c r="F19" s="7">
        <v>9</v>
      </c>
      <c r="G19" s="7">
        <v>18</v>
      </c>
      <c r="H19" s="7">
        <v>10</v>
      </c>
      <c r="I19" s="7">
        <v>8</v>
      </c>
      <c r="J19" s="7">
        <v>20</v>
      </c>
      <c r="K19" s="86">
        <v>43</v>
      </c>
      <c r="L19" s="86">
        <v>131</v>
      </c>
      <c r="M19" s="7">
        <v>20</v>
      </c>
      <c r="N19" s="7">
        <v>30</v>
      </c>
      <c r="O19" s="7">
        <v>25</v>
      </c>
      <c r="P19" s="7">
        <v>25</v>
      </c>
      <c r="Q19" s="7">
        <v>48</v>
      </c>
      <c r="R19" s="7">
        <v>19</v>
      </c>
      <c r="S19" s="7">
        <v>45</v>
      </c>
      <c r="T19" s="7">
        <v>50</v>
      </c>
      <c r="U19" s="86">
        <v>87</v>
      </c>
      <c r="V19" s="86">
        <v>83</v>
      </c>
      <c r="W19" s="7">
        <v>15</v>
      </c>
      <c r="X19" s="7">
        <v>25</v>
      </c>
      <c r="Y19" s="7">
        <v>30</v>
      </c>
      <c r="Z19" s="7">
        <v>40</v>
      </c>
      <c r="AA19" s="7">
        <v>27</v>
      </c>
      <c r="AB19" s="86">
        <v>40</v>
      </c>
      <c r="AC19" s="7">
        <v>18</v>
      </c>
      <c r="AD19" s="86">
        <v>45</v>
      </c>
      <c r="AE19" s="86">
        <v>50</v>
      </c>
      <c r="AF19" s="7">
        <v>20</v>
      </c>
      <c r="AG19" s="86">
        <v>38</v>
      </c>
      <c r="AH19" s="52">
        <v>24</v>
      </c>
      <c r="AI19" s="7">
        <v>60</v>
      </c>
      <c r="AJ19" s="86">
        <v>46</v>
      </c>
      <c r="AK19" s="12">
        <v>28</v>
      </c>
      <c r="AL19" s="96">
        <v>198</v>
      </c>
      <c r="AM19" s="86">
        <v>89</v>
      </c>
      <c r="AN19" s="7">
        <v>9</v>
      </c>
      <c r="AO19" s="81">
        <v>0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38"/>
      <c r="BK19" s="27">
        <f>((SUM(D19:BJ19))/(BK13-0))*100+1</f>
        <v>84.95867319195214</v>
      </c>
      <c r="BL19" s="7"/>
      <c r="BM19" s="7" t="s">
        <v>40</v>
      </c>
      <c r="BN19" s="32">
        <v>16</v>
      </c>
      <c r="BO19" s="34">
        <f t="shared" si="0"/>
        <v>16</v>
      </c>
      <c r="BQ19" s="41">
        <f t="shared" si="1"/>
        <v>84.95867319195214</v>
      </c>
      <c r="BR19" s="40"/>
      <c r="BS19" s="41"/>
      <c r="BT19" s="43"/>
      <c r="BU19" s="43"/>
      <c r="BV19" s="46"/>
      <c r="BW19" s="42"/>
      <c r="BX19" s="45"/>
      <c r="BY19" s="44"/>
    </row>
    <row r="20" spans="1:77" s="2" customFormat="1" ht="15" customHeight="1">
      <c r="A20" s="7" t="s">
        <v>41</v>
      </c>
      <c r="B20" s="7"/>
      <c r="C20" s="7"/>
      <c r="D20" s="7">
        <v>25</v>
      </c>
      <c r="E20" s="86">
        <v>45</v>
      </c>
      <c r="F20" s="7">
        <v>4</v>
      </c>
      <c r="G20" s="7">
        <v>18</v>
      </c>
      <c r="H20" s="7">
        <v>2</v>
      </c>
      <c r="I20" s="81">
        <v>0</v>
      </c>
      <c r="J20" s="7">
        <v>16</v>
      </c>
      <c r="K20" s="86">
        <v>40</v>
      </c>
      <c r="L20" s="86">
        <v>118</v>
      </c>
      <c r="M20" s="7">
        <v>16</v>
      </c>
      <c r="N20" s="7">
        <v>30</v>
      </c>
      <c r="O20" s="81">
        <v>0</v>
      </c>
      <c r="P20" s="7">
        <v>25</v>
      </c>
      <c r="Q20" s="7">
        <v>14</v>
      </c>
      <c r="R20" s="7">
        <v>16</v>
      </c>
      <c r="S20" s="81">
        <v>0</v>
      </c>
      <c r="T20" s="7">
        <v>50</v>
      </c>
      <c r="U20" s="86">
        <v>95</v>
      </c>
      <c r="V20" s="86">
        <v>90</v>
      </c>
      <c r="W20" s="7">
        <v>10</v>
      </c>
      <c r="X20" s="7">
        <v>21</v>
      </c>
      <c r="Y20" s="7">
        <v>30</v>
      </c>
      <c r="Z20" s="7">
        <v>40</v>
      </c>
      <c r="AA20" s="7">
        <v>30</v>
      </c>
      <c r="AB20" s="86">
        <v>38</v>
      </c>
      <c r="AC20" s="7">
        <v>16</v>
      </c>
      <c r="AD20" s="97">
        <v>46</v>
      </c>
      <c r="AE20" s="97">
        <v>36</v>
      </c>
      <c r="AF20" s="52">
        <v>20</v>
      </c>
      <c r="AG20" s="92">
        <v>0</v>
      </c>
      <c r="AH20" s="52">
        <v>25</v>
      </c>
      <c r="AI20" s="52">
        <v>45</v>
      </c>
      <c r="AJ20" s="97">
        <v>49</v>
      </c>
      <c r="AK20" s="20">
        <v>0</v>
      </c>
      <c r="AL20" s="96">
        <v>160</v>
      </c>
      <c r="AM20" s="92">
        <v>0</v>
      </c>
      <c r="AN20" s="7"/>
      <c r="AO20" s="81">
        <v>0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38"/>
      <c r="BK20" s="27">
        <f>((SUM(D20:BJ20))/(BK13-0))*100+1</f>
        <v>64.6215334420881</v>
      </c>
      <c r="BL20" s="7"/>
      <c r="BM20" s="7" t="s">
        <v>41</v>
      </c>
      <c r="BN20" s="32">
        <v>13</v>
      </c>
      <c r="BO20" s="34">
        <f t="shared" si="0"/>
        <v>13</v>
      </c>
      <c r="BQ20" s="41">
        <f t="shared" si="1"/>
        <v>64.6215334420881</v>
      </c>
      <c r="BR20" s="40"/>
      <c r="BS20" s="41"/>
      <c r="BT20" s="43"/>
      <c r="BU20" s="43"/>
      <c r="BV20" s="46"/>
      <c r="BW20" s="42"/>
      <c r="BX20" s="45"/>
      <c r="BY20" s="44"/>
    </row>
    <row r="21" spans="1:102" s="1" customFormat="1" ht="15" customHeight="1">
      <c r="A21" s="7" t="s">
        <v>42</v>
      </c>
      <c r="B21" s="7"/>
      <c r="C21" s="7"/>
      <c r="D21" s="7">
        <v>25</v>
      </c>
      <c r="E21" s="86">
        <v>37</v>
      </c>
      <c r="F21" s="7">
        <v>9</v>
      </c>
      <c r="G21" s="7">
        <v>18</v>
      </c>
      <c r="H21" s="7">
        <v>8</v>
      </c>
      <c r="I21" s="7">
        <v>4</v>
      </c>
      <c r="J21" s="7">
        <v>16</v>
      </c>
      <c r="K21" s="86">
        <v>45</v>
      </c>
      <c r="L21" s="86">
        <v>137</v>
      </c>
      <c r="M21" s="7">
        <v>18</v>
      </c>
      <c r="N21" s="7">
        <v>30</v>
      </c>
      <c r="O21" s="7">
        <v>25</v>
      </c>
      <c r="P21" s="7">
        <v>25</v>
      </c>
      <c r="Q21" s="7">
        <v>48</v>
      </c>
      <c r="R21" s="7">
        <v>19</v>
      </c>
      <c r="S21" s="7">
        <v>40</v>
      </c>
      <c r="T21" s="7">
        <v>50</v>
      </c>
      <c r="U21" s="86">
        <v>92</v>
      </c>
      <c r="V21" s="86">
        <v>80</v>
      </c>
      <c r="W21" s="7">
        <v>15</v>
      </c>
      <c r="X21" s="7">
        <v>18</v>
      </c>
      <c r="Y21" s="7">
        <v>30</v>
      </c>
      <c r="Z21" s="7">
        <v>20</v>
      </c>
      <c r="AA21" s="7">
        <v>24</v>
      </c>
      <c r="AB21" s="87">
        <v>26</v>
      </c>
      <c r="AC21" s="7">
        <v>15</v>
      </c>
      <c r="AD21" s="97">
        <v>45</v>
      </c>
      <c r="AE21" s="97">
        <v>36</v>
      </c>
      <c r="AF21" s="52">
        <v>17</v>
      </c>
      <c r="AG21" s="97">
        <v>36</v>
      </c>
      <c r="AH21" s="52">
        <v>14</v>
      </c>
      <c r="AI21" s="52">
        <v>35</v>
      </c>
      <c r="AJ21" s="97">
        <v>46</v>
      </c>
      <c r="AK21" s="20">
        <v>0</v>
      </c>
      <c r="AL21" s="96">
        <v>144</v>
      </c>
      <c r="AM21" s="92">
        <v>0</v>
      </c>
      <c r="AN21" s="7">
        <v>8</v>
      </c>
      <c r="AO21" s="81">
        <v>0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38">
        <v>2</v>
      </c>
      <c r="BK21" s="27">
        <f>(((SUM(D21:BJ21))/(BK13-0))*100)</f>
        <v>68.35236541598695</v>
      </c>
      <c r="BL21" s="7"/>
      <c r="BM21" s="7" t="s">
        <v>42</v>
      </c>
      <c r="BN21" s="32">
        <v>13</v>
      </c>
      <c r="BO21" s="34">
        <f t="shared" si="0"/>
        <v>13</v>
      </c>
      <c r="BP21" s="2"/>
      <c r="BQ21" s="41">
        <f t="shared" si="1"/>
        <v>68.35236541598695</v>
      </c>
      <c r="BR21" s="40"/>
      <c r="BS21" s="41"/>
      <c r="BT21" s="43"/>
      <c r="BU21" s="43"/>
      <c r="BV21" s="46"/>
      <c r="BW21" s="42"/>
      <c r="BX21" s="45"/>
      <c r="BY21" s="44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77" s="2" customFormat="1" ht="15" customHeight="1">
      <c r="A22" s="7" t="s">
        <v>43</v>
      </c>
      <c r="B22" s="7"/>
      <c r="C22" s="7"/>
      <c r="D22" s="7">
        <v>10</v>
      </c>
      <c r="E22" s="86">
        <v>49</v>
      </c>
      <c r="F22" s="7">
        <v>9</v>
      </c>
      <c r="G22" s="7">
        <v>18</v>
      </c>
      <c r="H22" s="7">
        <v>10</v>
      </c>
      <c r="I22" s="81">
        <v>0</v>
      </c>
      <c r="J22" s="7">
        <v>22</v>
      </c>
      <c r="K22" s="86">
        <v>40</v>
      </c>
      <c r="L22" s="86">
        <v>144</v>
      </c>
      <c r="M22" s="7">
        <v>20</v>
      </c>
      <c r="N22" s="7">
        <v>30</v>
      </c>
      <c r="O22" s="81">
        <v>0</v>
      </c>
      <c r="P22" s="7">
        <v>19</v>
      </c>
      <c r="Q22" s="7">
        <v>35</v>
      </c>
      <c r="R22" s="7">
        <v>17</v>
      </c>
      <c r="S22" s="81">
        <v>0</v>
      </c>
      <c r="T22" s="81">
        <v>0</v>
      </c>
      <c r="U22" s="86">
        <v>89</v>
      </c>
      <c r="V22" s="86">
        <v>83</v>
      </c>
      <c r="W22" s="7">
        <v>10</v>
      </c>
      <c r="X22" s="7">
        <v>13</v>
      </c>
      <c r="Y22" s="7">
        <v>30</v>
      </c>
      <c r="Z22" s="81">
        <v>0</v>
      </c>
      <c r="AA22" s="7">
        <v>21</v>
      </c>
      <c r="AB22" s="86">
        <v>40</v>
      </c>
      <c r="AC22" s="7">
        <v>15</v>
      </c>
      <c r="AD22" s="97">
        <v>37</v>
      </c>
      <c r="AE22" s="97">
        <v>46</v>
      </c>
      <c r="AF22" s="52">
        <v>9</v>
      </c>
      <c r="AG22" s="92">
        <v>0</v>
      </c>
      <c r="AH22" s="52">
        <v>23</v>
      </c>
      <c r="AI22" s="100">
        <v>0</v>
      </c>
      <c r="AJ22" s="97">
        <v>37</v>
      </c>
      <c r="AK22" s="20">
        <v>0</v>
      </c>
      <c r="AL22" s="96">
        <v>115</v>
      </c>
      <c r="AM22" s="97">
        <v>80</v>
      </c>
      <c r="AN22" s="7"/>
      <c r="AO22" s="81">
        <v>0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38">
        <v>5</v>
      </c>
      <c r="BK22" s="89">
        <f>((SUM(D22:BJ22))/(BK13-0))*100+1</f>
        <v>59.51005981511691</v>
      </c>
      <c r="BL22" s="7"/>
      <c r="BM22" s="7" t="s">
        <v>43</v>
      </c>
      <c r="BN22" s="32">
        <v>15</v>
      </c>
      <c r="BO22" s="34">
        <f t="shared" si="0"/>
        <v>15</v>
      </c>
      <c r="BQ22" s="41">
        <f t="shared" si="1"/>
        <v>59.51005981511691</v>
      </c>
      <c r="BR22" s="40"/>
      <c r="BS22" s="41"/>
      <c r="BT22" s="43"/>
      <c r="BU22" s="43"/>
      <c r="BV22" s="46"/>
      <c r="BW22" s="42"/>
      <c r="BX22" s="45"/>
      <c r="BY22" s="44"/>
    </row>
    <row r="23" spans="1:102" s="1" customFormat="1" ht="15" customHeight="1">
      <c r="A23" s="7" t="s">
        <v>44</v>
      </c>
      <c r="B23" s="7"/>
      <c r="C23" s="7"/>
      <c r="D23" s="7">
        <v>25</v>
      </c>
      <c r="E23" s="82" t="s">
        <v>77</v>
      </c>
      <c r="F23" s="82" t="s">
        <v>77</v>
      </c>
      <c r="G23" s="82" t="s">
        <v>77</v>
      </c>
      <c r="H23" s="82" t="s">
        <v>77</v>
      </c>
      <c r="I23" s="7">
        <v>6</v>
      </c>
      <c r="J23" s="7">
        <v>8</v>
      </c>
      <c r="K23" s="82" t="s">
        <v>77</v>
      </c>
      <c r="L23" s="86">
        <v>145</v>
      </c>
      <c r="M23" s="7">
        <v>16</v>
      </c>
      <c r="N23" s="81">
        <v>0</v>
      </c>
      <c r="O23" s="81">
        <v>0</v>
      </c>
      <c r="P23" s="7">
        <v>23</v>
      </c>
      <c r="Q23" s="81">
        <v>0</v>
      </c>
      <c r="R23" s="82" t="s">
        <v>77</v>
      </c>
      <c r="S23" s="81">
        <v>0</v>
      </c>
      <c r="T23" s="81">
        <v>0</v>
      </c>
      <c r="U23" s="87">
        <v>59</v>
      </c>
      <c r="V23" s="92">
        <v>0</v>
      </c>
      <c r="W23" s="7">
        <v>10</v>
      </c>
      <c r="X23" s="81">
        <v>0</v>
      </c>
      <c r="Y23" s="7">
        <v>30</v>
      </c>
      <c r="Z23" s="81">
        <v>0</v>
      </c>
      <c r="AA23" s="82" t="s">
        <v>77</v>
      </c>
      <c r="AB23" s="92">
        <v>0</v>
      </c>
      <c r="AC23" s="99" t="s">
        <v>77</v>
      </c>
      <c r="AD23" s="92">
        <v>0</v>
      </c>
      <c r="AE23" s="97">
        <v>36</v>
      </c>
      <c r="AF23" s="52">
        <v>16</v>
      </c>
      <c r="AG23" s="92">
        <v>0</v>
      </c>
      <c r="AH23" s="52">
        <v>18</v>
      </c>
      <c r="AI23" s="100">
        <v>0</v>
      </c>
      <c r="AJ23" s="97">
        <v>46</v>
      </c>
      <c r="AK23" s="20">
        <v>0</v>
      </c>
      <c r="AL23" s="96">
        <v>102</v>
      </c>
      <c r="AM23" s="92">
        <v>0</v>
      </c>
      <c r="AN23" s="7"/>
      <c r="AO23" s="81">
        <v>0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38"/>
      <c r="BK23" s="89">
        <f>(((SUM(D23:BJ23))/(BK13-210))*100)+2</f>
        <v>35.14917127071823</v>
      </c>
      <c r="BL23" s="7"/>
      <c r="BM23" s="7" t="s">
        <v>44</v>
      </c>
      <c r="BN23" s="32">
        <v>5</v>
      </c>
      <c r="BO23" s="34">
        <f t="shared" si="0"/>
        <v>5</v>
      </c>
      <c r="BP23" s="2"/>
      <c r="BQ23" s="41">
        <f t="shared" si="1"/>
        <v>35.14917127071823</v>
      </c>
      <c r="BR23" s="40"/>
      <c r="BS23" s="41"/>
      <c r="BT23" s="43"/>
      <c r="BU23" s="43"/>
      <c r="BV23" s="46"/>
      <c r="BW23" s="42"/>
      <c r="BX23" s="45"/>
      <c r="BY23" s="44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77" ht="15" customHeight="1">
      <c r="A24" s="7" t="s">
        <v>45</v>
      </c>
      <c r="B24" s="7"/>
      <c r="C24" s="7"/>
      <c r="D24" s="7">
        <v>25</v>
      </c>
      <c r="E24" s="86">
        <v>50</v>
      </c>
      <c r="F24" s="7">
        <v>9</v>
      </c>
      <c r="G24" s="7">
        <v>18</v>
      </c>
      <c r="H24" s="7">
        <v>10</v>
      </c>
      <c r="I24" s="81">
        <v>0</v>
      </c>
      <c r="J24" s="7">
        <v>22</v>
      </c>
      <c r="K24" s="86">
        <v>42</v>
      </c>
      <c r="L24" s="86">
        <v>140</v>
      </c>
      <c r="M24" s="7">
        <v>18</v>
      </c>
      <c r="N24" s="7">
        <v>30</v>
      </c>
      <c r="O24" s="7">
        <v>25</v>
      </c>
      <c r="P24" s="7">
        <v>25</v>
      </c>
      <c r="Q24" s="7">
        <v>48</v>
      </c>
      <c r="R24" s="7">
        <v>19</v>
      </c>
      <c r="S24" s="7">
        <v>35</v>
      </c>
      <c r="T24" s="7">
        <v>50</v>
      </c>
      <c r="U24" s="86">
        <v>87</v>
      </c>
      <c r="V24" s="86">
        <v>73</v>
      </c>
      <c r="W24" s="7">
        <v>20</v>
      </c>
      <c r="X24" s="7">
        <v>16</v>
      </c>
      <c r="Y24" s="7">
        <v>30</v>
      </c>
      <c r="Z24" s="7">
        <v>40</v>
      </c>
      <c r="AA24" s="7">
        <v>30</v>
      </c>
      <c r="AB24" s="86">
        <v>40</v>
      </c>
      <c r="AC24" s="7">
        <v>16</v>
      </c>
      <c r="AD24" s="97">
        <v>41</v>
      </c>
      <c r="AE24" s="97">
        <v>50</v>
      </c>
      <c r="AF24" s="52">
        <v>16</v>
      </c>
      <c r="AG24" s="97">
        <v>31</v>
      </c>
      <c r="AH24" s="52">
        <v>25</v>
      </c>
      <c r="AI24" s="52">
        <v>55</v>
      </c>
      <c r="AJ24" s="97">
        <v>50</v>
      </c>
      <c r="AK24" s="12">
        <v>44</v>
      </c>
      <c r="AL24" s="96">
        <v>175</v>
      </c>
      <c r="AM24" s="86">
        <v>82</v>
      </c>
      <c r="AN24" s="7">
        <v>15</v>
      </c>
      <c r="AO24" s="7">
        <v>120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38">
        <v>6</v>
      </c>
      <c r="BK24" s="27">
        <f>((SUM(D24:BJ24))/(BK13-0))*100+1</f>
        <v>89.52637302882002</v>
      </c>
      <c r="BL24" s="7"/>
      <c r="BM24" s="7" t="s">
        <v>45</v>
      </c>
      <c r="BN24" s="32">
        <v>16</v>
      </c>
      <c r="BO24" s="34">
        <f t="shared" si="0"/>
        <v>16</v>
      </c>
      <c r="BP24" s="2"/>
      <c r="BQ24" s="41">
        <f t="shared" si="1"/>
        <v>89.52637302882002</v>
      </c>
      <c r="BR24" s="40"/>
      <c r="BS24" s="41"/>
      <c r="BT24" s="43"/>
      <c r="BU24" s="43"/>
      <c r="BV24" s="46"/>
      <c r="BW24" s="42"/>
      <c r="BX24" s="45"/>
      <c r="BY24" s="44"/>
    </row>
    <row r="25" spans="1:77" ht="15" customHeight="1">
      <c r="A25" s="7">
        <v>11208</v>
      </c>
      <c r="B25" s="7"/>
      <c r="C25" s="7"/>
      <c r="D25" s="7">
        <v>25</v>
      </c>
      <c r="E25" s="86">
        <v>43</v>
      </c>
      <c r="F25" s="7">
        <v>9</v>
      </c>
      <c r="G25" s="7">
        <v>19</v>
      </c>
      <c r="H25" s="81">
        <v>0</v>
      </c>
      <c r="I25" s="81">
        <v>0</v>
      </c>
      <c r="J25" s="7">
        <v>15</v>
      </c>
      <c r="K25" s="81">
        <v>0</v>
      </c>
      <c r="L25" s="86">
        <v>140</v>
      </c>
      <c r="M25" s="7">
        <v>19</v>
      </c>
      <c r="N25" s="81">
        <v>0</v>
      </c>
      <c r="O25" s="81">
        <v>0</v>
      </c>
      <c r="P25" s="81">
        <v>0</v>
      </c>
      <c r="Q25" s="7">
        <v>48</v>
      </c>
      <c r="R25" s="82" t="s">
        <v>77</v>
      </c>
      <c r="S25" s="81">
        <v>0</v>
      </c>
      <c r="T25" s="81">
        <v>0</v>
      </c>
      <c r="U25" s="86">
        <v>95</v>
      </c>
      <c r="V25" s="92">
        <v>0</v>
      </c>
      <c r="W25" s="7">
        <v>10</v>
      </c>
      <c r="X25" s="7">
        <v>10</v>
      </c>
      <c r="Y25" s="7">
        <v>30</v>
      </c>
      <c r="Z25" s="81">
        <v>0</v>
      </c>
      <c r="AA25" s="7">
        <v>27</v>
      </c>
      <c r="AB25" s="92">
        <v>0</v>
      </c>
      <c r="AC25" s="100">
        <v>0</v>
      </c>
      <c r="AD25" s="92">
        <v>0</v>
      </c>
      <c r="AE25" s="92">
        <v>0</v>
      </c>
      <c r="AF25" s="99" t="s">
        <v>77</v>
      </c>
      <c r="AG25" s="92">
        <v>0</v>
      </c>
      <c r="AH25" s="52">
        <v>20</v>
      </c>
      <c r="AI25" s="100">
        <v>0</v>
      </c>
      <c r="AJ25" s="97">
        <v>43</v>
      </c>
      <c r="AK25" s="20">
        <v>0</v>
      </c>
      <c r="AL25" s="96">
        <v>171</v>
      </c>
      <c r="AM25" s="92">
        <v>0</v>
      </c>
      <c r="AN25" s="7"/>
      <c r="AO25" s="81">
        <v>0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38"/>
      <c r="BK25" s="89">
        <f>((SUM(D25:BJ25))/(BK13-40))*100</f>
        <v>40.24458032240133</v>
      </c>
      <c r="BL25" s="7"/>
      <c r="BM25" s="7">
        <v>11208</v>
      </c>
      <c r="BN25" s="32">
        <v>7</v>
      </c>
      <c r="BO25" s="34">
        <f t="shared" si="0"/>
        <v>7</v>
      </c>
      <c r="BP25" s="2"/>
      <c r="BQ25" s="41">
        <f t="shared" si="1"/>
        <v>40.24458032240133</v>
      </c>
      <c r="BR25" s="40"/>
      <c r="BS25" s="41"/>
      <c r="BT25" s="43"/>
      <c r="BU25" s="43"/>
      <c r="BV25" s="46"/>
      <c r="BW25" s="42"/>
      <c r="BX25" s="45"/>
      <c r="BY25" s="44"/>
    </row>
    <row r="26" spans="1:77" ht="15" customHeight="1">
      <c r="A26" s="7">
        <v>10145</v>
      </c>
      <c r="B26" s="7"/>
      <c r="C26" s="7"/>
      <c r="D26" s="7">
        <v>25</v>
      </c>
      <c r="E26" s="86">
        <v>50</v>
      </c>
      <c r="F26" s="82" t="s">
        <v>77</v>
      </c>
      <c r="G26" s="82" t="s">
        <v>77</v>
      </c>
      <c r="H26" s="82" t="s">
        <v>77</v>
      </c>
      <c r="I26" s="7">
        <v>4</v>
      </c>
      <c r="J26" s="82" t="s">
        <v>77</v>
      </c>
      <c r="K26" s="82" t="s">
        <v>77</v>
      </c>
      <c r="L26" s="86">
        <v>140</v>
      </c>
      <c r="M26" s="7">
        <v>17</v>
      </c>
      <c r="N26" s="81">
        <v>0</v>
      </c>
      <c r="O26" s="81">
        <v>0</v>
      </c>
      <c r="P26" s="7">
        <v>25</v>
      </c>
      <c r="Q26" s="7">
        <v>37</v>
      </c>
      <c r="R26" s="7">
        <v>20</v>
      </c>
      <c r="S26" s="7">
        <v>45</v>
      </c>
      <c r="T26" s="7">
        <v>50</v>
      </c>
      <c r="U26" s="86">
        <v>95</v>
      </c>
      <c r="V26" s="97">
        <v>90</v>
      </c>
      <c r="W26" s="7">
        <v>20</v>
      </c>
      <c r="X26" s="7">
        <v>17</v>
      </c>
      <c r="Y26" s="7">
        <v>30</v>
      </c>
      <c r="Z26" s="7">
        <v>40</v>
      </c>
      <c r="AA26" s="7">
        <v>27</v>
      </c>
      <c r="AB26" s="86">
        <v>42</v>
      </c>
      <c r="AC26" s="7">
        <v>18</v>
      </c>
      <c r="AD26" s="92">
        <v>0</v>
      </c>
      <c r="AE26" s="97">
        <v>44</v>
      </c>
      <c r="AF26" s="52">
        <v>14</v>
      </c>
      <c r="AG26" s="97">
        <v>40</v>
      </c>
      <c r="AH26" s="52">
        <v>23</v>
      </c>
      <c r="AI26" s="52">
        <v>56</v>
      </c>
      <c r="AJ26" s="97">
        <v>42</v>
      </c>
      <c r="AK26" s="12">
        <v>46</v>
      </c>
      <c r="AL26" s="106">
        <v>173</v>
      </c>
      <c r="AM26" s="86">
        <v>95</v>
      </c>
      <c r="AN26" s="7"/>
      <c r="AO26" s="82" t="s">
        <v>77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38">
        <v>2</v>
      </c>
      <c r="BK26" s="27">
        <f>((SUM(D26:BJ26))/(BK13-244))*100+2</f>
        <v>85.1974921630094</v>
      </c>
      <c r="BL26" s="7"/>
      <c r="BM26" s="7">
        <v>10145</v>
      </c>
      <c r="BN26" s="32">
        <v>14</v>
      </c>
      <c r="BO26" s="34">
        <f t="shared" si="0"/>
        <v>14</v>
      </c>
      <c r="BP26" s="2"/>
      <c r="BQ26" s="41">
        <f t="shared" si="1"/>
        <v>85.1974921630094</v>
      </c>
      <c r="BR26" s="40"/>
      <c r="BS26" s="41"/>
      <c r="BT26" s="43"/>
      <c r="BU26" s="43"/>
      <c r="BV26" s="46"/>
      <c r="BW26" s="42"/>
      <c r="BX26" s="45"/>
      <c r="BY26" s="44"/>
    </row>
    <row r="27" spans="1:77" ht="15" customHeight="1">
      <c r="A27" s="7" t="s">
        <v>46</v>
      </c>
      <c r="B27" s="7"/>
      <c r="C27" s="7"/>
      <c r="D27" s="7">
        <v>25</v>
      </c>
      <c r="E27" s="86">
        <v>46</v>
      </c>
      <c r="F27" s="7">
        <v>8</v>
      </c>
      <c r="G27" s="7">
        <v>18</v>
      </c>
      <c r="H27" s="7">
        <v>6</v>
      </c>
      <c r="I27" s="7">
        <v>2</v>
      </c>
      <c r="J27" s="7">
        <v>20</v>
      </c>
      <c r="K27" s="86">
        <v>39</v>
      </c>
      <c r="L27" s="86">
        <v>145</v>
      </c>
      <c r="M27" s="7">
        <v>13</v>
      </c>
      <c r="N27" s="7">
        <v>30</v>
      </c>
      <c r="O27" s="7">
        <v>25</v>
      </c>
      <c r="P27" s="7">
        <v>25</v>
      </c>
      <c r="Q27" s="7">
        <v>44</v>
      </c>
      <c r="R27" s="7">
        <v>19</v>
      </c>
      <c r="S27" s="7">
        <v>40</v>
      </c>
      <c r="T27" s="7">
        <v>50</v>
      </c>
      <c r="U27" s="86">
        <v>85</v>
      </c>
      <c r="V27" s="86">
        <v>79</v>
      </c>
      <c r="W27" s="7">
        <v>10</v>
      </c>
      <c r="X27" s="7">
        <v>10</v>
      </c>
      <c r="Y27" s="7">
        <v>30</v>
      </c>
      <c r="Z27" s="81">
        <v>0</v>
      </c>
      <c r="AA27" s="7">
        <v>27</v>
      </c>
      <c r="AB27" s="86">
        <v>34</v>
      </c>
      <c r="AC27" s="7">
        <v>17</v>
      </c>
      <c r="AD27" s="97">
        <v>38</v>
      </c>
      <c r="AE27" s="97">
        <v>38</v>
      </c>
      <c r="AF27" s="52">
        <v>20</v>
      </c>
      <c r="AG27" s="97">
        <v>36</v>
      </c>
      <c r="AH27" s="52">
        <v>10</v>
      </c>
      <c r="AI27" s="100">
        <v>0</v>
      </c>
      <c r="AJ27" s="97">
        <v>46</v>
      </c>
      <c r="AK27" s="20">
        <v>0</v>
      </c>
      <c r="AL27" s="96">
        <v>146</v>
      </c>
      <c r="AM27" s="92">
        <v>0</v>
      </c>
      <c r="AN27" s="7">
        <v>8</v>
      </c>
      <c r="AO27" s="81">
        <v>0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38">
        <v>1</v>
      </c>
      <c r="BK27" s="27">
        <f>((SUM(D27:BJ27))/(BK13-0))*100</f>
        <v>64.70908102229473</v>
      </c>
      <c r="BL27" s="7"/>
      <c r="BM27" s="7" t="s">
        <v>46</v>
      </c>
      <c r="BN27" s="32">
        <v>14</v>
      </c>
      <c r="BO27" s="34">
        <f t="shared" si="0"/>
        <v>14</v>
      </c>
      <c r="BQ27" s="41">
        <f t="shared" si="1"/>
        <v>64.70908102229473</v>
      </c>
      <c r="BR27" s="40"/>
      <c r="BS27" s="41"/>
      <c r="BT27" s="43"/>
      <c r="BU27" s="43"/>
      <c r="BV27" s="46"/>
      <c r="BW27" s="42"/>
      <c r="BX27" s="45"/>
      <c r="BY27" s="44"/>
    </row>
    <row r="28" spans="1:77" ht="15" customHeight="1">
      <c r="A28" s="7" t="s">
        <v>47</v>
      </c>
      <c r="B28" s="7"/>
      <c r="C28" s="7"/>
      <c r="D28" s="7">
        <v>25</v>
      </c>
      <c r="E28" s="86">
        <v>46</v>
      </c>
      <c r="F28" s="7">
        <v>10</v>
      </c>
      <c r="G28" s="7">
        <v>18</v>
      </c>
      <c r="H28" s="7">
        <v>10</v>
      </c>
      <c r="I28" s="7">
        <v>6</v>
      </c>
      <c r="J28" s="7">
        <v>20</v>
      </c>
      <c r="K28" s="86">
        <v>45</v>
      </c>
      <c r="L28" s="86">
        <v>145</v>
      </c>
      <c r="M28" s="7">
        <v>16</v>
      </c>
      <c r="N28" s="7">
        <v>30</v>
      </c>
      <c r="O28" s="7">
        <v>25</v>
      </c>
      <c r="P28" s="7">
        <v>25</v>
      </c>
      <c r="Q28" s="7">
        <v>44</v>
      </c>
      <c r="R28" s="7">
        <v>19</v>
      </c>
      <c r="S28" s="7">
        <v>40</v>
      </c>
      <c r="T28" s="7">
        <v>50</v>
      </c>
      <c r="U28" s="86">
        <v>89</v>
      </c>
      <c r="V28" s="86">
        <v>90</v>
      </c>
      <c r="W28" s="7">
        <v>15</v>
      </c>
      <c r="X28" s="7">
        <v>15</v>
      </c>
      <c r="Y28" s="7">
        <v>30</v>
      </c>
      <c r="Z28" s="7">
        <v>40</v>
      </c>
      <c r="AA28" s="7">
        <v>12</v>
      </c>
      <c r="AB28" s="86">
        <v>36</v>
      </c>
      <c r="AC28" s="7">
        <v>15</v>
      </c>
      <c r="AD28" s="97">
        <v>45</v>
      </c>
      <c r="AE28" s="97">
        <v>46</v>
      </c>
      <c r="AF28" s="52">
        <v>17</v>
      </c>
      <c r="AG28" s="52">
        <v>22</v>
      </c>
      <c r="AH28" s="52">
        <v>20</v>
      </c>
      <c r="AI28" s="52">
        <v>53</v>
      </c>
      <c r="AJ28" s="97">
        <v>46</v>
      </c>
      <c r="AK28" s="20">
        <v>0</v>
      </c>
      <c r="AL28" s="96">
        <v>116</v>
      </c>
      <c r="AM28" s="92">
        <v>0</v>
      </c>
      <c r="AN28" s="7">
        <v>33</v>
      </c>
      <c r="AO28" s="7">
        <v>120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38">
        <v>1</v>
      </c>
      <c r="BK28" s="27">
        <f>(((SUM(D28:BJ28))/(BK13-0))*100)</f>
        <v>78.03153887982599</v>
      </c>
      <c r="BL28" s="7"/>
      <c r="BM28" s="7" t="s">
        <v>47</v>
      </c>
      <c r="BN28" s="32">
        <v>13</v>
      </c>
      <c r="BO28" s="34">
        <f t="shared" si="0"/>
        <v>13</v>
      </c>
      <c r="BQ28" s="41">
        <f t="shared" si="1"/>
        <v>78.03153887982599</v>
      </c>
      <c r="BR28" s="40"/>
      <c r="BS28" s="41"/>
      <c r="BT28" s="43"/>
      <c r="BU28" s="43"/>
      <c r="BV28" s="46"/>
      <c r="BW28" s="42"/>
      <c r="BX28" s="45"/>
      <c r="BY28" s="44"/>
    </row>
    <row r="29" spans="1:77" ht="15" customHeight="1">
      <c r="A29" s="7" t="s">
        <v>48</v>
      </c>
      <c r="B29" s="7"/>
      <c r="C29" s="7"/>
      <c r="D29" s="7">
        <v>25</v>
      </c>
      <c r="E29" s="86">
        <v>40</v>
      </c>
      <c r="F29" s="81">
        <v>0</v>
      </c>
      <c r="G29" s="7">
        <v>3</v>
      </c>
      <c r="H29" s="81">
        <v>0</v>
      </c>
      <c r="I29" s="7">
        <v>2</v>
      </c>
      <c r="J29" s="7">
        <v>20</v>
      </c>
      <c r="K29" s="81">
        <v>0</v>
      </c>
      <c r="L29" s="86">
        <v>138</v>
      </c>
      <c r="M29" s="7">
        <v>16</v>
      </c>
      <c r="N29" s="7">
        <v>30</v>
      </c>
      <c r="O29" s="7">
        <v>25</v>
      </c>
      <c r="P29" s="7">
        <v>21</v>
      </c>
      <c r="Q29" s="7">
        <v>42</v>
      </c>
      <c r="R29" s="7">
        <v>16</v>
      </c>
      <c r="S29" s="7">
        <v>45</v>
      </c>
      <c r="T29" s="81">
        <v>0</v>
      </c>
      <c r="U29" s="86">
        <v>77</v>
      </c>
      <c r="V29" s="92">
        <v>0</v>
      </c>
      <c r="W29" s="7">
        <v>10</v>
      </c>
      <c r="X29" s="7">
        <v>9</v>
      </c>
      <c r="Y29" s="7">
        <v>10</v>
      </c>
      <c r="Z29" s="81">
        <v>0</v>
      </c>
      <c r="AA29" s="7">
        <v>30</v>
      </c>
      <c r="AB29" s="97">
        <v>34</v>
      </c>
      <c r="AC29" s="52">
        <v>18</v>
      </c>
      <c r="AD29" s="92">
        <v>0</v>
      </c>
      <c r="AE29" s="97">
        <v>48</v>
      </c>
      <c r="AF29" s="52">
        <v>20</v>
      </c>
      <c r="AG29" s="97">
        <v>0</v>
      </c>
      <c r="AH29" s="52">
        <v>10</v>
      </c>
      <c r="AI29" s="100">
        <v>0</v>
      </c>
      <c r="AJ29" s="97">
        <v>0</v>
      </c>
      <c r="AK29" s="20">
        <v>0</v>
      </c>
      <c r="AL29" s="96">
        <v>150</v>
      </c>
      <c r="AM29" s="86">
        <v>79</v>
      </c>
      <c r="AN29" s="7"/>
      <c r="AO29" s="81">
        <v>0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38">
        <v>2</v>
      </c>
      <c r="BK29" s="89">
        <f>((SUM(D29:BJ29))/(BK13-0))*100</f>
        <v>50.02718868950517</v>
      </c>
      <c r="BL29" s="7"/>
      <c r="BM29" s="7" t="s">
        <v>48</v>
      </c>
      <c r="BN29" s="32">
        <v>12</v>
      </c>
      <c r="BO29" s="34">
        <f t="shared" si="0"/>
        <v>12</v>
      </c>
      <c r="BQ29" s="41">
        <f t="shared" si="1"/>
        <v>50.02718868950517</v>
      </c>
      <c r="BR29" s="40"/>
      <c r="BS29" s="41"/>
      <c r="BT29" s="43"/>
      <c r="BU29" s="43"/>
      <c r="BV29" s="46"/>
      <c r="BW29" s="42"/>
      <c r="BX29" s="45"/>
      <c r="BY29" s="44"/>
    </row>
    <row r="30" spans="1:77" ht="15" customHeight="1">
      <c r="A30" s="7">
        <v>10483</v>
      </c>
      <c r="B30" s="7"/>
      <c r="C30" s="7"/>
      <c r="D30" s="7">
        <v>25</v>
      </c>
      <c r="E30" s="86">
        <v>50</v>
      </c>
      <c r="F30" s="7">
        <v>10</v>
      </c>
      <c r="G30" s="7">
        <v>18</v>
      </c>
      <c r="H30" s="7">
        <v>8</v>
      </c>
      <c r="I30" s="82" t="s">
        <v>77</v>
      </c>
      <c r="J30" s="82" t="s">
        <v>77</v>
      </c>
      <c r="K30" s="82" t="s">
        <v>77</v>
      </c>
      <c r="L30" s="82" t="s">
        <v>77</v>
      </c>
      <c r="M30" s="82" t="s">
        <v>77</v>
      </c>
      <c r="N30" s="82" t="s">
        <v>77</v>
      </c>
      <c r="O30" s="82" t="s">
        <v>77</v>
      </c>
      <c r="P30" s="82" t="s">
        <v>77</v>
      </c>
      <c r="Q30" s="7">
        <v>19</v>
      </c>
      <c r="R30" s="7">
        <v>19</v>
      </c>
      <c r="S30" s="7">
        <v>40</v>
      </c>
      <c r="T30" s="7">
        <v>50</v>
      </c>
      <c r="U30" s="86">
        <v>85</v>
      </c>
      <c r="V30" s="86">
        <v>88</v>
      </c>
      <c r="W30" s="7">
        <v>5</v>
      </c>
      <c r="X30" s="7">
        <v>24</v>
      </c>
      <c r="Y30" s="7">
        <v>30</v>
      </c>
      <c r="Z30" s="7">
        <v>40</v>
      </c>
      <c r="AA30" s="7">
        <v>24</v>
      </c>
      <c r="AB30" s="86">
        <v>38</v>
      </c>
      <c r="AC30" s="7">
        <v>16</v>
      </c>
      <c r="AD30" s="97">
        <v>45</v>
      </c>
      <c r="AE30" s="97">
        <v>36</v>
      </c>
      <c r="AF30" s="52">
        <v>20</v>
      </c>
      <c r="AG30" s="97">
        <v>35</v>
      </c>
      <c r="AH30" s="52">
        <v>15</v>
      </c>
      <c r="AI30" s="52">
        <v>45</v>
      </c>
      <c r="AJ30" s="97">
        <v>46</v>
      </c>
      <c r="AK30" s="12">
        <v>30</v>
      </c>
      <c r="AL30" s="96">
        <v>133</v>
      </c>
      <c r="AM30" s="97">
        <v>0</v>
      </c>
      <c r="AN30" s="7"/>
      <c r="AO30" s="81">
        <v>0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38"/>
      <c r="BK30" s="27">
        <f>((SUM(D30:BJ30))/(BK13-324))*100</f>
        <v>65.61056105610561</v>
      </c>
      <c r="BL30" s="7"/>
      <c r="BM30" s="7">
        <v>10483</v>
      </c>
      <c r="BN30" s="32">
        <v>12</v>
      </c>
      <c r="BO30" s="34">
        <f t="shared" si="0"/>
        <v>12</v>
      </c>
      <c r="BQ30" s="41">
        <f t="shared" si="1"/>
        <v>65.61056105610561</v>
      </c>
      <c r="BR30" s="40"/>
      <c r="BS30" s="41"/>
      <c r="BT30" s="43"/>
      <c r="BU30" s="43"/>
      <c r="BV30" s="46"/>
      <c r="BW30" s="42"/>
      <c r="BX30" s="45"/>
      <c r="BY30" s="44"/>
    </row>
    <row r="31" spans="1:77" ht="15" customHeight="1">
      <c r="A31" s="7">
        <v>10567</v>
      </c>
      <c r="B31" s="7"/>
      <c r="C31" s="7"/>
      <c r="D31" s="7">
        <v>25</v>
      </c>
      <c r="E31" s="86">
        <v>50</v>
      </c>
      <c r="F31" s="7">
        <v>9</v>
      </c>
      <c r="G31" s="7">
        <v>12</v>
      </c>
      <c r="H31" s="81">
        <v>0</v>
      </c>
      <c r="I31" s="7">
        <v>6</v>
      </c>
      <c r="J31" s="7">
        <v>14</v>
      </c>
      <c r="K31" s="81">
        <v>0</v>
      </c>
      <c r="L31" s="86">
        <v>117</v>
      </c>
      <c r="M31" s="7">
        <v>20</v>
      </c>
      <c r="N31" s="7">
        <v>30</v>
      </c>
      <c r="O31" s="81">
        <v>0</v>
      </c>
      <c r="P31" s="7">
        <v>7</v>
      </c>
      <c r="Q31" s="7">
        <v>34</v>
      </c>
      <c r="R31" s="81">
        <v>0</v>
      </c>
      <c r="S31" s="7">
        <v>30</v>
      </c>
      <c r="T31" s="7">
        <v>45</v>
      </c>
      <c r="U31" s="86">
        <v>94</v>
      </c>
      <c r="V31" s="86">
        <v>80</v>
      </c>
      <c r="W31" s="7">
        <v>5</v>
      </c>
      <c r="X31" s="81">
        <v>0</v>
      </c>
      <c r="Y31" s="7">
        <v>30</v>
      </c>
      <c r="Z31" s="7">
        <v>35</v>
      </c>
      <c r="AA31" s="7">
        <v>27</v>
      </c>
      <c r="AB31" s="86">
        <v>42</v>
      </c>
      <c r="AC31" s="100">
        <v>0</v>
      </c>
      <c r="AD31" s="97">
        <v>43</v>
      </c>
      <c r="AE31" s="97">
        <v>35</v>
      </c>
      <c r="AF31" s="52">
        <v>17</v>
      </c>
      <c r="AG31" s="92">
        <v>0</v>
      </c>
      <c r="AH31" s="52">
        <v>16</v>
      </c>
      <c r="AI31" s="100">
        <v>0</v>
      </c>
      <c r="AJ31" s="97">
        <v>46</v>
      </c>
      <c r="AK31" s="20">
        <v>0</v>
      </c>
      <c r="AL31" s="96">
        <v>126</v>
      </c>
      <c r="AM31" s="97">
        <v>0</v>
      </c>
      <c r="AN31" s="7">
        <v>17</v>
      </c>
      <c r="AO31" s="7">
        <v>35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38">
        <v>1</v>
      </c>
      <c r="BK31" s="89">
        <f>((SUM(D31:BJ31))/(BK13-0))*100</f>
        <v>56.98749320282762</v>
      </c>
      <c r="BL31" s="7"/>
      <c r="BM31" s="7">
        <v>10567</v>
      </c>
      <c r="BN31" s="32">
        <v>14</v>
      </c>
      <c r="BO31" s="34">
        <f t="shared" si="0"/>
        <v>14</v>
      </c>
      <c r="BQ31" s="41">
        <f t="shared" si="1"/>
        <v>56.98749320282762</v>
      </c>
      <c r="BR31" s="40"/>
      <c r="BS31" s="41"/>
      <c r="BT31" s="43"/>
      <c r="BU31" s="43"/>
      <c r="BV31" s="46"/>
      <c r="BW31" s="42"/>
      <c r="BX31" s="45"/>
      <c r="BY31" s="44"/>
    </row>
    <row r="32" spans="1:77" ht="15" customHeight="1">
      <c r="A32" s="7" t="s">
        <v>49</v>
      </c>
      <c r="B32" s="7"/>
      <c r="C32" s="7"/>
      <c r="D32" s="81">
        <v>0</v>
      </c>
      <c r="E32" s="86">
        <v>45</v>
      </c>
      <c r="F32" s="81">
        <v>0</v>
      </c>
      <c r="G32" s="7">
        <v>9</v>
      </c>
      <c r="H32" s="7">
        <v>10</v>
      </c>
      <c r="I32" s="7">
        <v>6</v>
      </c>
      <c r="J32" s="7">
        <v>18</v>
      </c>
      <c r="K32" s="81">
        <v>0</v>
      </c>
      <c r="L32" s="86">
        <v>136</v>
      </c>
      <c r="M32" s="7">
        <v>20</v>
      </c>
      <c r="N32" s="81">
        <v>0</v>
      </c>
      <c r="O32" s="81">
        <v>0</v>
      </c>
      <c r="P32" s="7">
        <v>25</v>
      </c>
      <c r="Q32" s="81">
        <v>0</v>
      </c>
      <c r="R32" s="81">
        <v>0</v>
      </c>
      <c r="S32" s="81">
        <v>0</v>
      </c>
      <c r="T32" s="81">
        <v>0</v>
      </c>
      <c r="U32" s="86">
        <v>91</v>
      </c>
      <c r="V32" s="92">
        <v>0</v>
      </c>
      <c r="W32" s="7">
        <v>10</v>
      </c>
      <c r="X32" s="7">
        <v>9</v>
      </c>
      <c r="Y32" s="7">
        <v>30</v>
      </c>
      <c r="Z32" s="81">
        <v>0</v>
      </c>
      <c r="AA32" s="7">
        <v>30</v>
      </c>
      <c r="AB32" s="86">
        <v>38</v>
      </c>
      <c r="AC32" s="7">
        <v>18</v>
      </c>
      <c r="AD32" s="97">
        <v>46</v>
      </c>
      <c r="AE32" s="98">
        <v>31</v>
      </c>
      <c r="AF32" s="99" t="s">
        <v>77</v>
      </c>
      <c r="AG32" s="92">
        <v>0</v>
      </c>
      <c r="AH32" s="52">
        <v>20</v>
      </c>
      <c r="AI32" s="100">
        <v>0</v>
      </c>
      <c r="AJ32" s="97">
        <v>42</v>
      </c>
      <c r="AK32" s="20">
        <v>0</v>
      </c>
      <c r="AL32" s="96">
        <v>164</v>
      </c>
      <c r="AM32" s="97">
        <v>87</v>
      </c>
      <c r="AN32" s="7">
        <v>10</v>
      </c>
      <c r="AO32" s="81">
        <v>0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38"/>
      <c r="BK32" s="89">
        <f>((SUM(D32:BJ32))/(BK13-20))*100+1</f>
        <v>50.20285871357889</v>
      </c>
      <c r="BL32" s="7"/>
      <c r="BM32" s="7" t="s">
        <v>49</v>
      </c>
      <c r="BN32" s="32">
        <v>11</v>
      </c>
      <c r="BO32" s="34">
        <f t="shared" si="0"/>
        <v>11</v>
      </c>
      <c r="BQ32" s="41">
        <f t="shared" si="1"/>
        <v>50.20285871357889</v>
      </c>
      <c r="BR32" s="40"/>
      <c r="BS32" s="41"/>
      <c r="BT32" s="43"/>
      <c r="BU32" s="43"/>
      <c r="BV32" s="46"/>
      <c r="BW32" s="42"/>
      <c r="BX32" s="45"/>
      <c r="BY32" s="44"/>
    </row>
    <row r="33" spans="1:77" ht="16.5" customHeight="1">
      <c r="A33" s="7">
        <v>11225</v>
      </c>
      <c r="B33" s="7"/>
      <c r="C33" s="7"/>
      <c r="D33" s="80" t="s">
        <v>77</v>
      </c>
      <c r="E33" s="82" t="s">
        <v>77</v>
      </c>
      <c r="F33" s="82" t="s">
        <v>77</v>
      </c>
      <c r="G33" s="82" t="s">
        <v>77</v>
      </c>
      <c r="H33" s="82" t="s">
        <v>77</v>
      </c>
      <c r="I33" s="82" t="s">
        <v>77</v>
      </c>
      <c r="J33" s="82" t="s">
        <v>77</v>
      </c>
      <c r="K33" s="81"/>
      <c r="L33" s="7"/>
      <c r="M33" s="7"/>
      <c r="N33" s="81"/>
      <c r="O33" s="81"/>
      <c r="P33" s="7"/>
      <c r="Q33" s="81"/>
      <c r="R33" s="81"/>
      <c r="S33" s="81"/>
      <c r="T33" s="81"/>
      <c r="U33" s="7"/>
      <c r="V33" s="7"/>
      <c r="W33" s="7"/>
      <c r="X33" s="7"/>
      <c r="Y33" s="7"/>
      <c r="Z33" s="81"/>
      <c r="AA33" s="7"/>
      <c r="AB33" s="7"/>
      <c r="AC33" s="7"/>
      <c r="AD33" s="52"/>
      <c r="AE33" s="52"/>
      <c r="AF33" s="99"/>
      <c r="AG33" s="92"/>
      <c r="AH33" s="52"/>
      <c r="AI33" s="100"/>
      <c r="AJ33" s="52"/>
      <c r="AK33" s="20"/>
      <c r="AL33" s="96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38"/>
      <c r="BK33" s="27">
        <f>((SUM(D33:BJ33))/(BK13-0))*100</f>
        <v>0</v>
      </c>
      <c r="BL33" s="7"/>
      <c r="BM33" s="7">
        <v>11225</v>
      </c>
      <c r="BN33" s="32">
        <v>0</v>
      </c>
      <c r="BO33" s="34">
        <f t="shared" si="0"/>
        <v>0</v>
      </c>
      <c r="BQ33" s="41">
        <f t="shared" si="1"/>
        <v>0</v>
      </c>
      <c r="BR33" s="40"/>
      <c r="BS33" s="41"/>
      <c r="BT33" s="43"/>
      <c r="BU33" s="43"/>
      <c r="BV33" s="46"/>
      <c r="BW33" s="42"/>
      <c r="BX33" s="45"/>
      <c r="BY33" s="44"/>
    </row>
    <row r="34" spans="1:77" ht="15" customHeight="1">
      <c r="A34" s="7" t="s">
        <v>50</v>
      </c>
      <c r="B34" s="7"/>
      <c r="C34" s="7"/>
      <c r="D34" s="81">
        <v>0</v>
      </c>
      <c r="E34" s="86">
        <v>49</v>
      </c>
      <c r="F34" s="81">
        <v>0</v>
      </c>
      <c r="G34" s="81">
        <v>0</v>
      </c>
      <c r="H34" s="81">
        <v>0</v>
      </c>
      <c r="I34" s="81">
        <v>0</v>
      </c>
      <c r="J34" s="7">
        <v>8</v>
      </c>
      <c r="K34" s="82" t="s">
        <v>77</v>
      </c>
      <c r="L34" s="82" t="s">
        <v>77</v>
      </c>
      <c r="M34" s="7">
        <v>11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92">
        <v>0</v>
      </c>
      <c r="V34" s="92">
        <v>0</v>
      </c>
      <c r="W34" s="82" t="s">
        <v>77</v>
      </c>
      <c r="X34" s="81">
        <v>0</v>
      </c>
      <c r="Y34" s="82" t="s">
        <v>77</v>
      </c>
      <c r="Z34" s="81">
        <v>0</v>
      </c>
      <c r="AA34" s="7">
        <v>24</v>
      </c>
      <c r="AB34" s="86">
        <v>44</v>
      </c>
      <c r="AC34" s="7">
        <v>4</v>
      </c>
      <c r="AD34" s="92">
        <v>0</v>
      </c>
      <c r="AE34" s="97">
        <v>44</v>
      </c>
      <c r="AF34" s="99" t="s">
        <v>77</v>
      </c>
      <c r="AG34" s="92">
        <v>0</v>
      </c>
      <c r="AH34" s="52">
        <v>19</v>
      </c>
      <c r="AI34" s="100">
        <v>0</v>
      </c>
      <c r="AJ34" s="97">
        <v>46</v>
      </c>
      <c r="AK34" s="20">
        <v>0</v>
      </c>
      <c r="AL34" s="106">
        <v>34</v>
      </c>
      <c r="AM34" s="98">
        <v>58</v>
      </c>
      <c r="AN34" s="7"/>
      <c r="AO34" s="82" t="s">
        <v>77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38"/>
      <c r="BK34" s="89">
        <f>((SUM(D34:BJ34))/(BK13-405))*100</f>
        <v>23.779637377963738</v>
      </c>
      <c r="BL34" s="7"/>
      <c r="BM34" s="7" t="s">
        <v>50</v>
      </c>
      <c r="BN34" s="32">
        <v>4</v>
      </c>
      <c r="BO34" s="34">
        <f t="shared" si="0"/>
        <v>4</v>
      </c>
      <c r="BQ34" s="41">
        <f t="shared" si="1"/>
        <v>23.779637377963738</v>
      </c>
      <c r="BR34" s="40"/>
      <c r="BS34" s="41"/>
      <c r="BT34" s="43"/>
      <c r="BU34" s="43"/>
      <c r="BV34" s="46"/>
      <c r="BW34" s="42"/>
      <c r="BX34" s="45"/>
      <c r="BY34" s="44"/>
    </row>
    <row r="35" spans="1:77" ht="15" customHeight="1">
      <c r="A35" s="7" t="s">
        <v>51</v>
      </c>
      <c r="B35" s="7"/>
      <c r="C35" s="7"/>
      <c r="D35" s="7">
        <v>25</v>
      </c>
      <c r="E35" s="86">
        <v>50</v>
      </c>
      <c r="F35" s="7">
        <v>6</v>
      </c>
      <c r="G35" s="7">
        <v>9</v>
      </c>
      <c r="H35" s="7">
        <v>5</v>
      </c>
      <c r="I35" s="81">
        <v>0</v>
      </c>
      <c r="J35" s="7">
        <v>14</v>
      </c>
      <c r="K35" s="81">
        <v>0</v>
      </c>
      <c r="L35" s="86">
        <v>133</v>
      </c>
      <c r="M35" s="7">
        <v>18</v>
      </c>
      <c r="N35" s="7">
        <v>30</v>
      </c>
      <c r="O35" s="81">
        <v>0</v>
      </c>
      <c r="P35" s="7">
        <v>21</v>
      </c>
      <c r="Q35" s="7">
        <v>43</v>
      </c>
      <c r="R35" s="7">
        <v>17</v>
      </c>
      <c r="S35" s="7">
        <v>30</v>
      </c>
      <c r="T35" s="81">
        <v>0</v>
      </c>
      <c r="U35" s="86">
        <v>87</v>
      </c>
      <c r="V35" s="86">
        <v>95</v>
      </c>
      <c r="W35" s="82" t="s">
        <v>77</v>
      </c>
      <c r="X35" s="81">
        <v>0</v>
      </c>
      <c r="Y35" s="82" t="s">
        <v>77</v>
      </c>
      <c r="Z35" s="81">
        <v>0</v>
      </c>
      <c r="AA35" s="7">
        <v>27</v>
      </c>
      <c r="AB35" s="92">
        <v>0</v>
      </c>
      <c r="AC35" s="100">
        <v>0</v>
      </c>
      <c r="AD35" s="92">
        <v>0</v>
      </c>
      <c r="AE35" s="98">
        <v>29</v>
      </c>
      <c r="AF35" s="52">
        <v>9</v>
      </c>
      <c r="AG35" s="92">
        <v>0</v>
      </c>
      <c r="AH35" s="52">
        <v>1</v>
      </c>
      <c r="AI35" s="100">
        <v>0</v>
      </c>
      <c r="AJ35" s="97">
        <v>37</v>
      </c>
      <c r="AK35" s="20">
        <v>0</v>
      </c>
      <c r="AL35" s="105">
        <v>108</v>
      </c>
      <c r="AM35" s="86">
        <v>88</v>
      </c>
      <c r="AN35" s="7"/>
      <c r="AO35" s="81">
        <v>0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38"/>
      <c r="BK35" s="89">
        <f>((SUM(D35:BJ35))/(BK13-55))*100</f>
        <v>49.43946188340807</v>
      </c>
      <c r="BL35" s="7"/>
      <c r="BM35" s="7" t="s">
        <v>51</v>
      </c>
      <c r="BN35" s="32">
        <v>11</v>
      </c>
      <c r="BO35" s="34">
        <f>SUM(BN35:BN35)</f>
        <v>11</v>
      </c>
      <c r="BQ35" s="41">
        <f t="shared" si="1"/>
        <v>49.43946188340807</v>
      </c>
      <c r="BR35" s="40"/>
      <c r="BS35" s="41"/>
      <c r="BT35" s="43"/>
      <c r="BU35" s="43"/>
      <c r="BV35" s="46"/>
      <c r="BW35" s="42"/>
      <c r="BX35" s="45"/>
      <c r="BY35" s="44"/>
    </row>
    <row r="36" spans="1:77" ht="15" customHeight="1">
      <c r="A36" s="7">
        <v>11664</v>
      </c>
      <c r="B36" s="7"/>
      <c r="C36" s="7"/>
      <c r="D36" s="7">
        <v>15</v>
      </c>
      <c r="E36" s="86">
        <v>45</v>
      </c>
      <c r="F36" s="7">
        <v>10</v>
      </c>
      <c r="G36" s="7">
        <v>18</v>
      </c>
      <c r="H36" s="81">
        <v>0</v>
      </c>
      <c r="I36" s="7">
        <v>4</v>
      </c>
      <c r="J36" s="7">
        <v>22</v>
      </c>
      <c r="K36" s="81">
        <v>0</v>
      </c>
      <c r="L36" s="86">
        <v>146</v>
      </c>
      <c r="M36" s="7">
        <v>20</v>
      </c>
      <c r="N36" s="7">
        <v>25</v>
      </c>
      <c r="O36" s="81">
        <v>0</v>
      </c>
      <c r="P36" s="7">
        <v>20</v>
      </c>
      <c r="Q36" s="81">
        <v>0</v>
      </c>
      <c r="R36" s="7">
        <v>19</v>
      </c>
      <c r="S36" s="81">
        <v>0</v>
      </c>
      <c r="T36" s="81">
        <v>0</v>
      </c>
      <c r="U36" s="86">
        <v>90</v>
      </c>
      <c r="V36" s="86">
        <v>84</v>
      </c>
      <c r="W36" s="81">
        <v>0</v>
      </c>
      <c r="X36" s="81">
        <v>0</v>
      </c>
      <c r="Y36" s="7">
        <v>30</v>
      </c>
      <c r="Z36" s="7">
        <v>40</v>
      </c>
      <c r="AA36" s="7">
        <v>21</v>
      </c>
      <c r="AB36" s="86">
        <v>38</v>
      </c>
      <c r="AC36" s="100">
        <v>0</v>
      </c>
      <c r="AD36" s="92">
        <v>0</v>
      </c>
      <c r="AE36" s="92">
        <v>0</v>
      </c>
      <c r="AF36" s="52">
        <v>19</v>
      </c>
      <c r="AG36" s="97">
        <v>0</v>
      </c>
      <c r="AH36" s="52">
        <v>10</v>
      </c>
      <c r="AI36" s="100">
        <v>0</v>
      </c>
      <c r="AJ36" s="97">
        <v>37</v>
      </c>
      <c r="AK36" s="20">
        <v>0</v>
      </c>
      <c r="AL36" s="96">
        <v>106</v>
      </c>
      <c r="AM36" s="86">
        <v>97</v>
      </c>
      <c r="AN36" s="7">
        <v>10</v>
      </c>
      <c r="AO36" s="81">
        <v>0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38"/>
      <c r="BK36" s="89">
        <f>((SUM(D36:BJ36))/(BK13-0))*100</f>
        <v>50.35345296356716</v>
      </c>
      <c r="BL36" s="7"/>
      <c r="BM36" s="7">
        <v>11664</v>
      </c>
      <c r="BN36" s="32">
        <v>13</v>
      </c>
      <c r="BO36" s="34">
        <f>SUM(BN36:BN36)</f>
        <v>13</v>
      </c>
      <c r="BQ36" s="41">
        <f t="shared" si="1"/>
        <v>50.35345296356716</v>
      </c>
      <c r="BR36" s="40"/>
      <c r="BS36" s="41"/>
      <c r="BT36" s="43"/>
      <c r="BU36" s="43"/>
      <c r="BV36" s="46"/>
      <c r="BW36" s="42"/>
      <c r="BX36" s="45"/>
      <c r="BY36" s="44"/>
    </row>
    <row r="37" spans="1:77" ht="15" customHeight="1">
      <c r="A37" s="7"/>
      <c r="B37" s="7"/>
      <c r="C37" s="29" t="s">
        <v>79</v>
      </c>
      <c r="D37" s="7"/>
      <c r="E37" s="7">
        <v>1</v>
      </c>
      <c r="F37" s="7"/>
      <c r="G37" s="7"/>
      <c r="H37" s="7"/>
      <c r="I37" s="7"/>
      <c r="J37" s="7"/>
      <c r="K37" s="7">
        <v>1</v>
      </c>
      <c r="L37" s="7">
        <v>3</v>
      </c>
      <c r="M37" s="7"/>
      <c r="N37" s="7"/>
      <c r="O37" s="7"/>
      <c r="P37" s="7"/>
      <c r="Q37" s="7"/>
      <c r="R37" s="7"/>
      <c r="S37" s="7"/>
      <c r="T37" s="7"/>
      <c r="U37" s="7">
        <v>2</v>
      </c>
      <c r="V37" s="7">
        <v>2</v>
      </c>
      <c r="W37" s="7"/>
      <c r="X37" s="7"/>
      <c r="Y37" s="7"/>
      <c r="Z37" s="7"/>
      <c r="AA37" s="7"/>
      <c r="AB37" s="7">
        <v>1</v>
      </c>
      <c r="AC37" s="7"/>
      <c r="AD37" s="7">
        <v>1</v>
      </c>
      <c r="AE37" s="7">
        <v>1</v>
      </c>
      <c r="AF37" s="7"/>
      <c r="AG37" s="7">
        <v>1</v>
      </c>
      <c r="AH37" s="7"/>
      <c r="AI37" s="7"/>
      <c r="AJ37" s="7">
        <v>1</v>
      </c>
      <c r="AK37" s="12"/>
      <c r="AL37" s="7"/>
      <c r="AM37" s="7">
        <v>2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38"/>
      <c r="BK37" s="27"/>
      <c r="BL37" s="7"/>
      <c r="BM37" s="7"/>
      <c r="BN37" s="59" t="s">
        <v>19</v>
      </c>
      <c r="BO37" s="90">
        <f>SUM(B37:BJ37)</f>
        <v>16</v>
      </c>
      <c r="BQ37" s="41"/>
      <c r="BR37" s="40"/>
      <c r="BS37" s="41"/>
      <c r="BT37" s="43"/>
      <c r="BU37" s="43"/>
      <c r="BV37" s="46"/>
      <c r="BW37" s="42"/>
      <c r="BX37" s="45"/>
      <c r="BY37" s="44"/>
    </row>
    <row r="38" spans="1:102" s="8" customFormat="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2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52"/>
      <c r="BK38" s="52"/>
      <c r="BL38" s="7"/>
      <c r="BM38" s="7"/>
      <c r="BN38" s="7"/>
      <c r="BO38" s="7"/>
      <c r="BQ38" s="52"/>
      <c r="BR38" s="52"/>
      <c r="BS38" s="52"/>
      <c r="BT38" s="52"/>
      <c r="BU38" s="52"/>
      <c r="BV38" s="52"/>
      <c r="BW38" s="52"/>
      <c r="BX38" s="52"/>
      <c r="BY38" s="52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</row>
  </sheetData>
  <mergeCells count="10">
    <mergeCell ref="F1:X1"/>
    <mergeCell ref="BY11:BY13"/>
    <mergeCell ref="BW11:BW13"/>
    <mergeCell ref="BS11:BS13"/>
    <mergeCell ref="BT11:BT13"/>
    <mergeCell ref="BU11:BU13"/>
    <mergeCell ref="BX11:BX13"/>
    <mergeCell ref="BV11:BV13"/>
    <mergeCell ref="BQ11:BQ13"/>
    <mergeCell ref="BR11:BR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7"/>
  <sheetViews>
    <sheetView workbookViewId="0" topLeftCell="A12">
      <selection activeCell="B25" sqref="B25"/>
    </sheetView>
  </sheetViews>
  <sheetFormatPr defaultColWidth="9.140625" defaultRowHeight="12.75"/>
  <cols>
    <col min="1" max="1" width="10.28125" style="3" customWidth="1"/>
    <col min="2" max="2" width="17.421875" style="3" customWidth="1"/>
    <col min="3" max="3" width="12.00390625" style="3" hidden="1" customWidth="1"/>
    <col min="4" max="4" width="2.8515625" style="3" hidden="1" customWidth="1"/>
    <col min="5" max="6" width="3.8515625" style="3" customWidth="1"/>
    <col min="7" max="13" width="3.8515625" style="28" customWidth="1"/>
    <col min="14" max="24" width="3.8515625" style="3" customWidth="1"/>
    <col min="25" max="32" width="3.8515625" style="4" customWidth="1"/>
    <col min="33" max="33" width="19.421875" style="126" customWidth="1"/>
    <col min="34" max="35" width="4.00390625" style="28" customWidth="1"/>
    <col min="36" max="36" width="4.00390625" style="4" customWidth="1"/>
    <col min="37" max="41" width="4.00390625" style="28" customWidth="1"/>
    <col min="42" max="42" width="6.57421875" style="4" customWidth="1"/>
    <col min="43" max="43" width="5.421875" style="14" customWidth="1"/>
    <col min="44" max="44" width="18.421875" style="3" customWidth="1"/>
    <col min="45" max="45" width="9.7109375" style="3" customWidth="1"/>
    <col min="46" max="46" width="13.57421875" style="23" customWidth="1"/>
    <col min="47" max="47" width="6.7109375" style="30" customWidth="1"/>
    <col min="48" max="48" width="1.421875" style="0" customWidth="1"/>
    <col min="49" max="54" width="5.7109375" style="4" customWidth="1"/>
    <col min="55" max="55" width="15.00390625" style="4" customWidth="1"/>
    <col min="56" max="56" width="5.7109375" style="4" customWidth="1"/>
    <col min="57" max="57" width="19.140625" style="4" customWidth="1"/>
    <col min="58" max="82" width="9.140625" style="2" customWidth="1"/>
  </cols>
  <sheetData>
    <row r="1" spans="5:82" ht="12.75">
      <c r="E1" s="7"/>
      <c r="G1" s="169" t="s">
        <v>36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91"/>
      <c r="AA1" s="112"/>
      <c r="AB1" s="112"/>
      <c r="AC1" s="112"/>
      <c r="AD1" s="112"/>
      <c r="AE1" s="112"/>
      <c r="AF1" s="112"/>
      <c r="AG1" s="125"/>
      <c r="AH1" s="117"/>
      <c r="AI1" s="117"/>
      <c r="AJ1" s="112"/>
      <c r="AK1" s="117"/>
      <c r="AL1" s="117"/>
      <c r="AM1" s="117"/>
      <c r="AN1" s="117"/>
      <c r="AO1" s="117"/>
      <c r="AP1"/>
      <c r="AQ1"/>
      <c r="AR1"/>
      <c r="AS1"/>
      <c r="AT1"/>
      <c r="AU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spans="1:43" ht="12.75">
      <c r="A2" s="16"/>
      <c r="B2" s="17" t="s">
        <v>1</v>
      </c>
      <c r="C2" s="4"/>
      <c r="E2" s="4"/>
      <c r="F2" s="4"/>
      <c r="AQ2" s="11"/>
    </row>
    <row r="3" spans="1:43" ht="12.75">
      <c r="A3" s="11" t="s">
        <v>13</v>
      </c>
      <c r="B3" s="17" t="s">
        <v>15</v>
      </c>
      <c r="C3" s="4"/>
      <c r="E3" s="4"/>
      <c r="F3" s="4"/>
      <c r="AQ3" s="11"/>
    </row>
    <row r="4" spans="1:43" ht="12.75">
      <c r="A4" s="26"/>
      <c r="B4" s="17" t="s">
        <v>10</v>
      </c>
      <c r="C4" s="4"/>
      <c r="E4" s="4"/>
      <c r="F4" s="4"/>
      <c r="AQ4" s="11"/>
    </row>
    <row r="5" spans="1:43" ht="12.75">
      <c r="A5" s="15"/>
      <c r="B5" s="17" t="s">
        <v>3</v>
      </c>
      <c r="C5" s="4"/>
      <c r="E5" s="4"/>
      <c r="F5" s="4"/>
      <c r="AQ5" s="11"/>
    </row>
    <row r="6" spans="1:43" ht="12.75">
      <c r="A6" s="24"/>
      <c r="B6" s="17" t="s">
        <v>9</v>
      </c>
      <c r="C6" s="4"/>
      <c r="E6" s="4"/>
      <c r="F6" s="4"/>
      <c r="AQ6" s="11"/>
    </row>
    <row r="7" spans="1:43" ht="12.75">
      <c r="A7" s="22"/>
      <c r="B7" s="17" t="s">
        <v>8</v>
      </c>
      <c r="C7" s="4"/>
      <c r="E7" s="4"/>
      <c r="F7" s="4"/>
      <c r="AQ7" s="11"/>
    </row>
    <row r="8" spans="1:43" ht="12.75">
      <c r="A8" s="18"/>
      <c r="B8" s="17" t="s">
        <v>14</v>
      </c>
      <c r="C8" s="4"/>
      <c r="E8" s="4"/>
      <c r="F8" s="4"/>
      <c r="AQ8" s="11"/>
    </row>
    <row r="9" spans="1:43" ht="12.75">
      <c r="A9" s="19"/>
      <c r="B9" s="17" t="s">
        <v>4</v>
      </c>
      <c r="C9" s="4"/>
      <c r="E9" s="4"/>
      <c r="F9" s="4"/>
      <c r="AQ9" s="11"/>
    </row>
    <row r="10" spans="1:43" ht="12.75">
      <c r="A10" s="20"/>
      <c r="B10" s="17" t="s">
        <v>5</v>
      </c>
      <c r="C10" s="4"/>
      <c r="E10" s="4"/>
      <c r="F10" s="4"/>
      <c r="AQ10" s="11"/>
    </row>
    <row r="11" spans="1:82" s="8" customFormat="1" ht="108" customHeight="1">
      <c r="A11" s="7"/>
      <c r="B11" s="29" t="s">
        <v>11</v>
      </c>
      <c r="C11" s="7"/>
      <c r="D11" s="7"/>
      <c r="E11" s="25" t="s">
        <v>119</v>
      </c>
      <c r="F11" s="25" t="s">
        <v>120</v>
      </c>
      <c r="G11" s="25" t="s">
        <v>121</v>
      </c>
      <c r="H11" s="83" t="s">
        <v>135</v>
      </c>
      <c r="I11" s="83" t="s">
        <v>136</v>
      </c>
      <c r="J11" s="25" t="s">
        <v>128</v>
      </c>
      <c r="K11" s="83" t="s">
        <v>122</v>
      </c>
      <c r="L11" s="25" t="s">
        <v>123</v>
      </c>
      <c r="M11" s="25" t="s">
        <v>127</v>
      </c>
      <c r="N11" s="25" t="s">
        <v>124</v>
      </c>
      <c r="O11" s="83" t="s">
        <v>137</v>
      </c>
      <c r="P11" s="25" t="s">
        <v>125</v>
      </c>
      <c r="Q11" s="25" t="s">
        <v>126</v>
      </c>
      <c r="R11" s="25" t="s">
        <v>129</v>
      </c>
      <c r="S11" s="25" t="s">
        <v>130</v>
      </c>
      <c r="T11" s="25" t="s">
        <v>131</v>
      </c>
      <c r="U11" s="83" t="s">
        <v>132</v>
      </c>
      <c r="V11" s="25" t="s">
        <v>133</v>
      </c>
      <c r="W11" s="25" t="s">
        <v>134</v>
      </c>
      <c r="X11" s="25" t="s">
        <v>138</v>
      </c>
      <c r="Y11" s="25" t="s">
        <v>139</v>
      </c>
      <c r="Z11" s="83" t="s">
        <v>140</v>
      </c>
      <c r="AA11" s="25" t="s">
        <v>145</v>
      </c>
      <c r="AB11" s="25" t="s">
        <v>142</v>
      </c>
      <c r="AC11" s="25" t="s">
        <v>143</v>
      </c>
      <c r="AD11" s="83" t="s">
        <v>144</v>
      </c>
      <c r="AE11" s="25" t="s">
        <v>146</v>
      </c>
      <c r="AF11" s="83" t="s">
        <v>147</v>
      </c>
      <c r="AG11" s="130" t="s">
        <v>165</v>
      </c>
      <c r="AH11" s="118" t="s">
        <v>159</v>
      </c>
      <c r="AI11" s="118" t="s">
        <v>160</v>
      </c>
      <c r="AJ11" s="83" t="s">
        <v>148</v>
      </c>
      <c r="AK11" s="118" t="s">
        <v>161</v>
      </c>
      <c r="AL11" s="118" t="s">
        <v>162</v>
      </c>
      <c r="AM11" s="118" t="s">
        <v>164</v>
      </c>
      <c r="AN11" s="118" t="s">
        <v>163</v>
      </c>
      <c r="AO11" s="118" t="s">
        <v>117</v>
      </c>
      <c r="AP11" s="35" t="s">
        <v>20</v>
      </c>
      <c r="AQ11" s="12"/>
      <c r="AR11" s="7"/>
      <c r="AS11" s="7"/>
      <c r="AT11" s="23"/>
      <c r="AU11" s="23"/>
      <c r="AW11" s="170" t="s">
        <v>21</v>
      </c>
      <c r="AX11" s="170" t="s">
        <v>22</v>
      </c>
      <c r="AY11" s="170" t="s">
        <v>23</v>
      </c>
      <c r="AZ11" s="170" t="s">
        <v>24</v>
      </c>
      <c r="BA11" s="170" t="s">
        <v>25</v>
      </c>
      <c r="BB11" s="170" t="s">
        <v>29</v>
      </c>
      <c r="BC11" s="172" t="s">
        <v>28</v>
      </c>
      <c r="BD11" s="170" t="s">
        <v>27</v>
      </c>
      <c r="BE11" s="170" t="s">
        <v>26</v>
      </c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s="8" customFormat="1" ht="12.75">
      <c r="A12" s="6"/>
      <c r="B12" s="29" t="s">
        <v>12</v>
      </c>
      <c r="C12" s="6"/>
      <c r="D12" s="6"/>
      <c r="E12" s="58">
        <v>39003</v>
      </c>
      <c r="F12" s="58">
        <v>39002</v>
      </c>
      <c r="G12" s="58">
        <v>39003</v>
      </c>
      <c r="H12" s="84">
        <v>39011</v>
      </c>
      <c r="I12" s="84">
        <v>39013</v>
      </c>
      <c r="J12" s="58">
        <v>39013</v>
      </c>
      <c r="K12" s="84">
        <v>39013</v>
      </c>
      <c r="L12" s="58">
        <v>39013</v>
      </c>
      <c r="M12" s="58">
        <v>39014</v>
      </c>
      <c r="N12" s="58">
        <v>39015</v>
      </c>
      <c r="O12" s="84">
        <v>39015</v>
      </c>
      <c r="P12" s="58">
        <v>39015</v>
      </c>
      <c r="Q12" s="58">
        <v>39014</v>
      </c>
      <c r="R12" s="58">
        <v>39020</v>
      </c>
      <c r="S12" s="58">
        <v>39021</v>
      </c>
      <c r="T12" s="58">
        <v>39017</v>
      </c>
      <c r="U12" s="84">
        <v>39017</v>
      </c>
      <c r="V12" s="58">
        <v>39022</v>
      </c>
      <c r="W12" s="58">
        <v>39023</v>
      </c>
      <c r="X12" s="58">
        <v>39024</v>
      </c>
      <c r="Y12" s="58">
        <v>39024</v>
      </c>
      <c r="Z12" s="84">
        <v>39030</v>
      </c>
      <c r="AA12" s="58">
        <v>39027</v>
      </c>
      <c r="AB12" s="58">
        <v>39028</v>
      </c>
      <c r="AC12" s="58">
        <v>39030</v>
      </c>
      <c r="AD12" s="84">
        <v>39030</v>
      </c>
      <c r="AE12" s="58">
        <v>39030</v>
      </c>
      <c r="AF12" s="84">
        <v>39034</v>
      </c>
      <c r="AG12" s="127">
        <v>39048</v>
      </c>
      <c r="AH12" s="119">
        <v>39036</v>
      </c>
      <c r="AI12" s="119">
        <v>39038</v>
      </c>
      <c r="AJ12" s="84">
        <v>39038</v>
      </c>
      <c r="AK12" s="119">
        <v>39038</v>
      </c>
      <c r="AL12" s="119">
        <v>39048</v>
      </c>
      <c r="AM12" s="119">
        <v>39050</v>
      </c>
      <c r="AN12" s="119">
        <v>39050</v>
      </c>
      <c r="AO12" s="119">
        <v>39051</v>
      </c>
      <c r="AP12" s="36"/>
      <c r="AQ12" s="5" t="s">
        <v>0</v>
      </c>
      <c r="AR12" s="6"/>
      <c r="AS12" s="6"/>
      <c r="AT12" s="23" t="s">
        <v>16</v>
      </c>
      <c r="AU12" s="23"/>
      <c r="AW12" s="171"/>
      <c r="AX12" s="171"/>
      <c r="AY12" s="171"/>
      <c r="AZ12" s="171"/>
      <c r="BA12" s="171"/>
      <c r="BB12" s="171"/>
      <c r="BC12" s="173"/>
      <c r="BD12" s="171"/>
      <c r="BE12" s="171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s="8" customFormat="1" ht="12.75" customHeight="1" thickBot="1">
      <c r="A13" s="9" t="s">
        <v>2</v>
      </c>
      <c r="B13" s="9" t="s">
        <v>6</v>
      </c>
      <c r="C13" s="9" t="s">
        <v>7</v>
      </c>
      <c r="D13" s="9" t="s">
        <v>30</v>
      </c>
      <c r="E13" s="10">
        <v>40</v>
      </c>
      <c r="F13" s="10">
        <v>34</v>
      </c>
      <c r="G13" s="10">
        <v>50</v>
      </c>
      <c r="H13" s="85">
        <v>50</v>
      </c>
      <c r="I13" s="85">
        <v>100</v>
      </c>
      <c r="J13" s="10">
        <v>100</v>
      </c>
      <c r="K13" s="85">
        <v>50</v>
      </c>
      <c r="L13" s="10"/>
      <c r="M13" s="10">
        <v>50</v>
      </c>
      <c r="N13" s="10">
        <v>50</v>
      </c>
      <c r="O13" s="85">
        <v>50</v>
      </c>
      <c r="P13" s="10">
        <v>60</v>
      </c>
      <c r="Q13" s="10">
        <v>25</v>
      </c>
      <c r="R13" s="10">
        <v>45</v>
      </c>
      <c r="S13" s="10">
        <v>35</v>
      </c>
      <c r="T13" s="10">
        <v>25</v>
      </c>
      <c r="U13" s="85">
        <v>150</v>
      </c>
      <c r="V13" s="10"/>
      <c r="W13" s="10">
        <v>160</v>
      </c>
      <c r="X13" s="10">
        <v>200</v>
      </c>
      <c r="Y13" s="10">
        <v>40</v>
      </c>
      <c r="Z13" s="85">
        <v>50</v>
      </c>
      <c r="AA13" s="10">
        <v>30</v>
      </c>
      <c r="AB13" s="10">
        <v>25</v>
      </c>
      <c r="AC13" s="10">
        <v>50</v>
      </c>
      <c r="AD13" s="85">
        <v>100</v>
      </c>
      <c r="AE13" s="10">
        <v>50</v>
      </c>
      <c r="AF13" s="85">
        <v>150</v>
      </c>
      <c r="AG13" s="128">
        <f>100+50+100</f>
        <v>250</v>
      </c>
      <c r="AH13" s="120">
        <v>25</v>
      </c>
      <c r="AI13" s="120">
        <v>50</v>
      </c>
      <c r="AJ13" s="85">
        <v>50</v>
      </c>
      <c r="AK13" s="120">
        <v>20</v>
      </c>
      <c r="AL13" s="120">
        <v>50</v>
      </c>
      <c r="AM13" s="120">
        <v>50</v>
      </c>
      <c r="AN13" s="120">
        <v>100</v>
      </c>
      <c r="AO13" s="120"/>
      <c r="AP13" s="37"/>
      <c r="AQ13" s="13">
        <f>SUM(E13:AP13)</f>
        <v>2364</v>
      </c>
      <c r="AR13" s="9" t="s">
        <v>6</v>
      </c>
      <c r="AS13" s="9" t="s">
        <v>2</v>
      </c>
      <c r="AT13" s="31" t="s">
        <v>17</v>
      </c>
      <c r="AU13" s="31" t="s">
        <v>18</v>
      </c>
      <c r="AW13" s="171"/>
      <c r="AX13" s="171"/>
      <c r="AY13" s="171"/>
      <c r="AZ13" s="171"/>
      <c r="BA13" s="171"/>
      <c r="BB13" s="171"/>
      <c r="BC13" s="173"/>
      <c r="BD13" s="171"/>
      <c r="BE13" s="171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</row>
    <row r="14" spans="1:57" ht="15" customHeight="1" thickTop="1">
      <c r="A14" s="7">
        <v>11691</v>
      </c>
      <c r="B14" s="7"/>
      <c r="C14" s="7"/>
      <c r="D14" s="7"/>
      <c r="E14" s="7">
        <v>25</v>
      </c>
      <c r="F14" s="81">
        <v>0</v>
      </c>
      <c r="G14" s="7">
        <v>37</v>
      </c>
      <c r="H14" s="86">
        <v>40</v>
      </c>
      <c r="I14" s="86">
        <v>69</v>
      </c>
      <c r="J14" s="7">
        <v>22</v>
      </c>
      <c r="K14" s="86">
        <v>36</v>
      </c>
      <c r="L14" s="81">
        <v>0</v>
      </c>
      <c r="M14" s="7">
        <v>33</v>
      </c>
      <c r="N14" s="7">
        <v>26</v>
      </c>
      <c r="O14" s="92">
        <v>0</v>
      </c>
      <c r="P14" s="81">
        <v>0</v>
      </c>
      <c r="Q14" s="81">
        <v>0</v>
      </c>
      <c r="R14" s="7"/>
      <c r="S14" s="7"/>
      <c r="T14" s="7"/>
      <c r="U14" s="92"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29"/>
      <c r="AH14" s="52"/>
      <c r="AI14" s="52"/>
      <c r="AJ14" s="7"/>
      <c r="AK14" s="52"/>
      <c r="AL14" s="52"/>
      <c r="AM14" s="52"/>
      <c r="AN14" s="52"/>
      <c r="AO14" s="52"/>
      <c r="AP14" s="38"/>
      <c r="AQ14" s="89">
        <f>((SUM(E14:AP14))/(AQ13-0))*100</f>
        <v>12.18274111675127</v>
      </c>
      <c r="AR14" s="7"/>
      <c r="AS14" s="7">
        <v>11691</v>
      </c>
      <c r="AT14" s="32">
        <v>4</v>
      </c>
      <c r="AU14" s="111">
        <f>'Grades - 1st Term'!BO14+AT14</f>
        <v>16</v>
      </c>
      <c r="AW14" s="41">
        <v>66.7060212514758</v>
      </c>
      <c r="AX14" s="41">
        <f>AQ14</f>
        <v>12.18274111675127</v>
      </c>
      <c r="AY14" s="41"/>
      <c r="AZ14" s="43"/>
      <c r="BA14" s="43"/>
      <c r="BB14" s="46"/>
      <c r="BC14" s="42"/>
      <c r="BD14" s="45"/>
      <c r="BE14" s="44"/>
    </row>
    <row r="15" spans="1:57" ht="15" customHeight="1">
      <c r="A15" s="7" t="s">
        <v>37</v>
      </c>
      <c r="B15" s="7"/>
      <c r="C15" s="7"/>
      <c r="D15" s="7"/>
      <c r="E15" s="7">
        <v>32</v>
      </c>
      <c r="F15" s="7">
        <v>32</v>
      </c>
      <c r="G15" s="7">
        <v>41</v>
      </c>
      <c r="H15" s="86">
        <v>48</v>
      </c>
      <c r="I15" s="86">
        <v>93</v>
      </c>
      <c r="J15" s="7">
        <v>60</v>
      </c>
      <c r="K15" s="86">
        <v>50</v>
      </c>
      <c r="L15" s="7">
        <v>7</v>
      </c>
      <c r="M15" s="7">
        <v>49</v>
      </c>
      <c r="N15" s="7">
        <v>43</v>
      </c>
      <c r="O15" s="97">
        <v>37</v>
      </c>
      <c r="P15" s="7">
        <v>60</v>
      </c>
      <c r="Q15" s="7">
        <v>10</v>
      </c>
      <c r="R15" s="82" t="s">
        <v>77</v>
      </c>
      <c r="S15" s="81">
        <v>0</v>
      </c>
      <c r="T15" s="7">
        <v>22</v>
      </c>
      <c r="U15" s="86">
        <v>126</v>
      </c>
      <c r="V15" s="81">
        <v>0</v>
      </c>
      <c r="W15" s="7">
        <v>64</v>
      </c>
      <c r="X15" s="7">
        <v>225</v>
      </c>
      <c r="Y15" s="81">
        <v>0</v>
      </c>
      <c r="Z15" s="86">
        <v>44</v>
      </c>
      <c r="AA15" s="81">
        <v>0</v>
      </c>
      <c r="AB15" s="7">
        <v>11</v>
      </c>
      <c r="AC15" s="7">
        <v>50</v>
      </c>
      <c r="AD15" s="86">
        <v>94</v>
      </c>
      <c r="AE15" s="7">
        <v>50</v>
      </c>
      <c r="AF15" s="86">
        <v>98</v>
      </c>
      <c r="AG15" s="129">
        <f>40+45+55</f>
        <v>140</v>
      </c>
      <c r="AH15" s="52">
        <v>20</v>
      </c>
      <c r="AI15" s="100">
        <v>0</v>
      </c>
      <c r="AJ15" s="97">
        <v>45</v>
      </c>
      <c r="AK15" s="52">
        <v>10</v>
      </c>
      <c r="AL15" s="100">
        <v>0</v>
      </c>
      <c r="AM15" s="100">
        <v>0</v>
      </c>
      <c r="AN15" s="52">
        <v>77</v>
      </c>
      <c r="AO15" s="52"/>
      <c r="AP15" s="38">
        <v>100</v>
      </c>
      <c r="AQ15" s="27">
        <f>(((SUM(E15:AP15))/(AQ13-45))*100)</f>
        <v>74.94609745579992</v>
      </c>
      <c r="AR15" s="7"/>
      <c r="AS15" s="7" t="s">
        <v>37</v>
      </c>
      <c r="AT15" s="32">
        <v>13</v>
      </c>
      <c r="AU15" s="110">
        <f>'Grades - 1st Term'!BO15+AT15</f>
        <v>28</v>
      </c>
      <c r="AW15" s="41">
        <v>71.97309417040358</v>
      </c>
      <c r="AX15" s="41">
        <f aca="true" t="shared" si="0" ref="AX15:AX35">AQ15</f>
        <v>74.94609745579992</v>
      </c>
      <c r="AY15" s="41"/>
      <c r="AZ15" s="43"/>
      <c r="BA15" s="43"/>
      <c r="BB15" s="46"/>
      <c r="BC15" s="42"/>
      <c r="BD15" s="45"/>
      <c r="BE15" s="44"/>
    </row>
    <row r="16" spans="1:57" s="2" customFormat="1" ht="15" customHeight="1">
      <c r="A16" s="7" t="s">
        <v>38</v>
      </c>
      <c r="B16" s="7"/>
      <c r="C16" s="7"/>
      <c r="D16" s="7"/>
      <c r="E16" s="7">
        <v>27</v>
      </c>
      <c r="F16" s="81">
        <v>0</v>
      </c>
      <c r="G16" s="81">
        <v>0</v>
      </c>
      <c r="H16" s="92">
        <v>0</v>
      </c>
      <c r="I16" s="86">
        <v>79</v>
      </c>
      <c r="J16" s="7">
        <v>66</v>
      </c>
      <c r="K16" s="86">
        <v>34</v>
      </c>
      <c r="L16" s="81">
        <v>0</v>
      </c>
      <c r="M16" s="7">
        <v>49</v>
      </c>
      <c r="N16" s="7">
        <v>40</v>
      </c>
      <c r="O16" s="97">
        <v>43</v>
      </c>
      <c r="P16" s="81">
        <v>0</v>
      </c>
      <c r="Q16" s="81">
        <v>0</v>
      </c>
      <c r="R16" s="7">
        <v>45</v>
      </c>
      <c r="S16" s="7">
        <v>35</v>
      </c>
      <c r="T16" s="81">
        <v>0</v>
      </c>
      <c r="U16" s="92">
        <v>0</v>
      </c>
      <c r="V16" s="81">
        <v>0</v>
      </c>
      <c r="W16" s="7">
        <v>70</v>
      </c>
      <c r="X16" s="7">
        <v>180</v>
      </c>
      <c r="Y16" s="7">
        <v>30</v>
      </c>
      <c r="Z16" s="97">
        <v>44</v>
      </c>
      <c r="AA16" s="81">
        <v>0</v>
      </c>
      <c r="AB16" s="7">
        <v>17</v>
      </c>
      <c r="AC16" s="81">
        <v>0</v>
      </c>
      <c r="AD16" s="86">
        <v>92</v>
      </c>
      <c r="AE16" s="7">
        <v>10</v>
      </c>
      <c r="AF16" s="97">
        <v>125</v>
      </c>
      <c r="AG16" s="129">
        <f>70+20+0</f>
        <v>90</v>
      </c>
      <c r="AH16" s="52">
        <v>15</v>
      </c>
      <c r="AI16" s="100">
        <v>0</v>
      </c>
      <c r="AJ16" s="86">
        <v>46</v>
      </c>
      <c r="AK16" s="52">
        <v>20</v>
      </c>
      <c r="AL16" s="100">
        <v>0</v>
      </c>
      <c r="AM16" s="52">
        <v>50</v>
      </c>
      <c r="AN16" s="52">
        <v>70</v>
      </c>
      <c r="AO16" s="52">
        <v>15</v>
      </c>
      <c r="AP16" s="38">
        <v>50</v>
      </c>
      <c r="AQ16" s="89">
        <f>((SUM(E16:AP16))/(AQ13-0))*100+3</f>
        <v>59.76818950930627</v>
      </c>
      <c r="AR16" s="7"/>
      <c r="AS16" s="7" t="s">
        <v>38</v>
      </c>
      <c r="AT16" s="32">
        <v>10</v>
      </c>
      <c r="AU16" s="110">
        <f>'Grades - 1st Term'!BO16+AT16</f>
        <v>22</v>
      </c>
      <c r="AW16" s="41">
        <v>60.34692767808591</v>
      </c>
      <c r="AX16" s="41">
        <f t="shared" si="0"/>
        <v>59.76818950930627</v>
      </c>
      <c r="AY16" s="41"/>
      <c r="AZ16" s="43"/>
      <c r="BA16" s="43"/>
      <c r="BB16" s="46"/>
      <c r="BC16" s="42"/>
      <c r="BD16" s="45"/>
      <c r="BE16" s="44"/>
    </row>
    <row r="17" spans="1:57" s="2" customFormat="1" ht="15" customHeight="1">
      <c r="A17" s="7">
        <v>10159</v>
      </c>
      <c r="B17" s="7"/>
      <c r="C17" s="7"/>
      <c r="D17" s="7"/>
      <c r="E17" s="7">
        <v>38</v>
      </c>
      <c r="F17" s="81">
        <v>0</v>
      </c>
      <c r="G17" s="7">
        <v>45</v>
      </c>
      <c r="H17" s="86">
        <v>44</v>
      </c>
      <c r="I17" s="98">
        <v>57</v>
      </c>
      <c r="J17" s="7">
        <v>46</v>
      </c>
      <c r="K17" s="97">
        <v>50</v>
      </c>
      <c r="L17" s="81">
        <v>0</v>
      </c>
      <c r="M17" s="7">
        <v>48</v>
      </c>
      <c r="N17" s="7">
        <v>37</v>
      </c>
      <c r="O17" s="86">
        <v>45</v>
      </c>
      <c r="P17" s="81">
        <v>0</v>
      </c>
      <c r="Q17" s="81">
        <v>0</v>
      </c>
      <c r="R17" s="7">
        <v>35</v>
      </c>
      <c r="S17" s="81">
        <v>0</v>
      </c>
      <c r="T17" s="81">
        <v>0</v>
      </c>
      <c r="U17" s="86">
        <v>124</v>
      </c>
      <c r="V17" s="81">
        <v>0</v>
      </c>
      <c r="W17" s="7">
        <v>80</v>
      </c>
      <c r="X17" s="7">
        <v>180</v>
      </c>
      <c r="Y17" s="7">
        <v>30</v>
      </c>
      <c r="Z17" s="7">
        <v>32</v>
      </c>
      <c r="AA17" s="7">
        <v>4</v>
      </c>
      <c r="AB17" s="7">
        <v>9</v>
      </c>
      <c r="AC17" s="7">
        <v>50</v>
      </c>
      <c r="AD17" s="86">
        <v>100</v>
      </c>
      <c r="AE17" s="7">
        <v>10</v>
      </c>
      <c r="AF17" s="87">
        <v>94</v>
      </c>
      <c r="AG17" s="129">
        <f>70+0+50</f>
        <v>120</v>
      </c>
      <c r="AH17" s="100">
        <v>0</v>
      </c>
      <c r="AI17" s="52">
        <v>20</v>
      </c>
      <c r="AJ17" s="98">
        <v>25</v>
      </c>
      <c r="AK17" s="99" t="s">
        <v>77</v>
      </c>
      <c r="AL17" s="99" t="s">
        <v>77</v>
      </c>
      <c r="AM17" s="100">
        <v>0</v>
      </c>
      <c r="AN17" s="52">
        <v>67</v>
      </c>
      <c r="AO17" s="52"/>
      <c r="AP17" s="38"/>
      <c r="AQ17" s="89">
        <f>((SUM(E17:AP17))/(AQ13-70))*100+2</f>
        <v>62.59285091543156</v>
      </c>
      <c r="AR17" s="7"/>
      <c r="AS17" s="7">
        <v>10159</v>
      </c>
      <c r="AT17" s="32">
        <v>5</v>
      </c>
      <c r="AU17" s="111">
        <f>'Grades - 1st Term'!BO17+AT17</f>
        <v>16</v>
      </c>
      <c r="AW17" s="41">
        <v>55.90984057174272</v>
      </c>
      <c r="AX17" s="41">
        <f t="shared" si="0"/>
        <v>62.59285091543156</v>
      </c>
      <c r="AY17" s="41"/>
      <c r="AZ17" s="43"/>
      <c r="BA17" s="43"/>
      <c r="BB17" s="46"/>
      <c r="BC17" s="42"/>
      <c r="BD17" s="45"/>
      <c r="BE17" s="44"/>
    </row>
    <row r="18" spans="1:57" s="2" customFormat="1" ht="15" customHeight="1">
      <c r="A18" s="7" t="s">
        <v>39</v>
      </c>
      <c r="B18" s="7"/>
      <c r="C18" s="7"/>
      <c r="D18" s="7"/>
      <c r="E18" s="81">
        <v>0</v>
      </c>
      <c r="F18" s="81">
        <v>0</v>
      </c>
      <c r="G18" s="81">
        <v>0</v>
      </c>
      <c r="H18" s="92">
        <v>0</v>
      </c>
      <c r="I18" s="92">
        <v>0</v>
      </c>
      <c r="J18" s="7">
        <v>83</v>
      </c>
      <c r="K18" s="97">
        <v>50</v>
      </c>
      <c r="L18" s="81">
        <v>0</v>
      </c>
      <c r="M18" s="82" t="s">
        <v>77</v>
      </c>
      <c r="N18" s="82" t="s">
        <v>77</v>
      </c>
      <c r="O18" s="82" t="s">
        <v>77</v>
      </c>
      <c r="P18" s="82" t="s">
        <v>77</v>
      </c>
      <c r="Q18" s="82" t="s">
        <v>77</v>
      </c>
      <c r="R18" s="81">
        <v>0</v>
      </c>
      <c r="S18" s="81">
        <v>0</v>
      </c>
      <c r="T18" s="81">
        <v>0</v>
      </c>
      <c r="U18" s="97">
        <v>97</v>
      </c>
      <c r="V18" s="81">
        <v>0</v>
      </c>
      <c r="W18" s="7">
        <v>108</v>
      </c>
      <c r="X18" s="81">
        <v>0</v>
      </c>
      <c r="Y18" s="81">
        <v>0</v>
      </c>
      <c r="Z18" s="86">
        <v>47</v>
      </c>
      <c r="AA18" s="7">
        <v>28</v>
      </c>
      <c r="AB18" s="7">
        <v>11</v>
      </c>
      <c r="AC18" s="81">
        <v>0</v>
      </c>
      <c r="AD18" s="86">
        <v>94</v>
      </c>
      <c r="AE18" s="81">
        <v>0</v>
      </c>
      <c r="AF18" s="87">
        <v>50</v>
      </c>
      <c r="AG18" s="100" t="s">
        <v>157</v>
      </c>
      <c r="AH18" s="52">
        <v>25</v>
      </c>
      <c r="AI18" s="100">
        <v>0</v>
      </c>
      <c r="AJ18" s="92">
        <v>0</v>
      </c>
      <c r="AK18" s="52">
        <v>14</v>
      </c>
      <c r="AL18" s="99" t="s">
        <v>77</v>
      </c>
      <c r="AM18" s="100">
        <v>0</v>
      </c>
      <c r="AN18" s="52">
        <v>55</v>
      </c>
      <c r="AO18" s="52"/>
      <c r="AP18" s="38">
        <v>50</v>
      </c>
      <c r="AQ18" s="89">
        <f>((SUM(E18:AP18))/(AQ13-285))*100+1</f>
        <v>35.247234247234246</v>
      </c>
      <c r="AR18" s="7"/>
      <c r="AS18" s="7" t="s">
        <v>39</v>
      </c>
      <c r="AT18" s="32">
        <v>6</v>
      </c>
      <c r="AU18" s="111">
        <f>'Grades - 1st Term'!BO18+AT18</f>
        <v>17</v>
      </c>
      <c r="AW18" s="41">
        <v>60.110562075355155</v>
      </c>
      <c r="AX18" s="41">
        <f t="shared" si="0"/>
        <v>35.247234247234246</v>
      </c>
      <c r="AY18" s="41"/>
      <c r="AZ18" s="43"/>
      <c r="BA18" s="43"/>
      <c r="BB18" s="46"/>
      <c r="BC18" s="42"/>
      <c r="BD18" s="45"/>
      <c r="BE18" s="44"/>
    </row>
    <row r="19" spans="1:57" s="2" customFormat="1" ht="15" customHeight="1">
      <c r="A19" s="7" t="s">
        <v>40</v>
      </c>
      <c r="B19" s="7"/>
      <c r="C19" s="7"/>
      <c r="D19" s="7"/>
      <c r="E19" s="7">
        <v>40</v>
      </c>
      <c r="F19" s="7">
        <v>28</v>
      </c>
      <c r="G19" s="7">
        <v>45</v>
      </c>
      <c r="H19" s="86">
        <v>48</v>
      </c>
      <c r="I19" s="86">
        <v>94</v>
      </c>
      <c r="J19" s="7">
        <v>87</v>
      </c>
      <c r="K19" s="86">
        <v>50</v>
      </c>
      <c r="L19" s="7">
        <v>8</v>
      </c>
      <c r="M19" s="7">
        <v>50</v>
      </c>
      <c r="N19" s="7">
        <v>42</v>
      </c>
      <c r="O19" s="86">
        <v>45</v>
      </c>
      <c r="P19" s="7">
        <v>60</v>
      </c>
      <c r="Q19" s="7">
        <v>25</v>
      </c>
      <c r="R19" s="7">
        <v>45</v>
      </c>
      <c r="S19" s="7">
        <v>35</v>
      </c>
      <c r="T19" s="7">
        <v>22</v>
      </c>
      <c r="U19" s="86">
        <v>135</v>
      </c>
      <c r="V19" s="7">
        <v>48</v>
      </c>
      <c r="W19" s="7">
        <v>138</v>
      </c>
      <c r="X19" s="7">
        <v>200</v>
      </c>
      <c r="Y19" s="7">
        <v>40</v>
      </c>
      <c r="Z19" s="86">
        <v>44</v>
      </c>
      <c r="AA19" s="7">
        <v>28</v>
      </c>
      <c r="AB19" s="7">
        <v>19</v>
      </c>
      <c r="AC19" s="7">
        <v>50</v>
      </c>
      <c r="AD19" s="86">
        <v>95</v>
      </c>
      <c r="AE19" s="7">
        <v>50</v>
      </c>
      <c r="AF19" s="86">
        <v>131</v>
      </c>
      <c r="AG19" s="129">
        <f>90+30+75</f>
        <v>195</v>
      </c>
      <c r="AH19" s="52">
        <v>25</v>
      </c>
      <c r="AI19" s="52">
        <v>50</v>
      </c>
      <c r="AJ19" s="86">
        <v>41</v>
      </c>
      <c r="AK19" s="52">
        <v>14</v>
      </c>
      <c r="AL19" s="100">
        <v>0</v>
      </c>
      <c r="AM19" s="52">
        <v>50</v>
      </c>
      <c r="AN19" s="52">
        <v>79</v>
      </c>
      <c r="AO19" s="52"/>
      <c r="AP19" s="38"/>
      <c r="AQ19" s="27">
        <f>((SUM(E19:AP19))/(AQ13-0))*100</f>
        <v>91.20135363790186</v>
      </c>
      <c r="AR19" s="7"/>
      <c r="AS19" s="7" t="s">
        <v>40</v>
      </c>
      <c r="AT19" s="32">
        <v>13</v>
      </c>
      <c r="AU19" s="110">
        <f>'Grades - 1st Term'!BO19+AT19</f>
        <v>29</v>
      </c>
      <c r="AW19" s="41">
        <v>84.95867319195214</v>
      </c>
      <c r="AX19" s="41">
        <f t="shared" si="0"/>
        <v>91.20135363790186</v>
      </c>
      <c r="AY19" s="41"/>
      <c r="AZ19" s="43"/>
      <c r="BA19" s="43"/>
      <c r="BB19" s="46"/>
      <c r="BC19" s="42"/>
      <c r="BD19" s="45"/>
      <c r="BE19" s="44"/>
    </row>
    <row r="20" spans="1:57" s="2" customFormat="1" ht="15" customHeight="1">
      <c r="A20" s="7" t="s">
        <v>41</v>
      </c>
      <c r="B20" s="7"/>
      <c r="C20" s="7"/>
      <c r="D20" s="7"/>
      <c r="E20" s="7">
        <v>40</v>
      </c>
      <c r="F20" s="81">
        <v>0</v>
      </c>
      <c r="G20" s="81">
        <v>0</v>
      </c>
      <c r="H20" s="86">
        <v>50</v>
      </c>
      <c r="I20" s="86">
        <v>93</v>
      </c>
      <c r="J20" s="7">
        <v>56</v>
      </c>
      <c r="K20" s="97">
        <v>50</v>
      </c>
      <c r="L20" s="81">
        <v>0</v>
      </c>
      <c r="M20" s="82" t="s">
        <v>77</v>
      </c>
      <c r="N20" s="7">
        <v>48</v>
      </c>
      <c r="O20" s="86">
        <v>45</v>
      </c>
      <c r="P20" s="81">
        <v>0</v>
      </c>
      <c r="Q20" s="7">
        <v>20</v>
      </c>
      <c r="R20" s="81">
        <v>0</v>
      </c>
      <c r="S20" s="81">
        <v>0</v>
      </c>
      <c r="T20" s="81">
        <v>0</v>
      </c>
      <c r="U20" s="86">
        <v>125</v>
      </c>
      <c r="V20" s="7">
        <v>42</v>
      </c>
      <c r="W20" s="7">
        <v>74</v>
      </c>
      <c r="X20" s="7">
        <v>150</v>
      </c>
      <c r="Y20" s="7">
        <v>38</v>
      </c>
      <c r="Z20" s="86">
        <v>36</v>
      </c>
      <c r="AA20" s="7">
        <v>8</v>
      </c>
      <c r="AB20" s="7">
        <v>15</v>
      </c>
      <c r="AC20" s="7">
        <v>49</v>
      </c>
      <c r="AD20" s="97">
        <v>88</v>
      </c>
      <c r="AE20" s="7">
        <v>50</v>
      </c>
      <c r="AF20" s="97">
        <v>110</v>
      </c>
      <c r="AG20" s="129">
        <f>90+0+0</f>
        <v>90</v>
      </c>
      <c r="AH20" s="100">
        <v>0</v>
      </c>
      <c r="AI20" s="100">
        <v>0</v>
      </c>
      <c r="AJ20" s="98">
        <v>22</v>
      </c>
      <c r="AK20" s="52">
        <v>16</v>
      </c>
      <c r="AL20" s="100">
        <v>0</v>
      </c>
      <c r="AM20" s="100">
        <v>0</v>
      </c>
      <c r="AN20" s="52">
        <v>60</v>
      </c>
      <c r="AO20" s="52">
        <v>15</v>
      </c>
      <c r="AP20" s="38"/>
      <c r="AQ20" s="89">
        <f>((SUM(E20:AP20))/(AQ13-50))*100+2</f>
        <v>62.069144338807256</v>
      </c>
      <c r="AR20" s="7"/>
      <c r="AS20" s="7" t="s">
        <v>41</v>
      </c>
      <c r="AT20" s="32">
        <v>12</v>
      </c>
      <c r="AU20" s="110">
        <f>'Grades - 1st Term'!BO20+AT20</f>
        <v>25</v>
      </c>
      <c r="AW20" s="41">
        <v>64.6215334420881</v>
      </c>
      <c r="AX20" s="41">
        <f t="shared" si="0"/>
        <v>62.069144338807256</v>
      </c>
      <c r="AY20" s="41"/>
      <c r="AZ20" s="43"/>
      <c r="BA20" s="43"/>
      <c r="BB20" s="46"/>
      <c r="BC20" s="42"/>
      <c r="BD20" s="45"/>
      <c r="BE20" s="44"/>
    </row>
    <row r="21" spans="1:82" s="1" customFormat="1" ht="15" customHeight="1">
      <c r="A21" s="7" t="s">
        <v>42</v>
      </c>
      <c r="B21" s="7"/>
      <c r="C21" s="7"/>
      <c r="D21" s="7"/>
      <c r="E21" s="7">
        <v>40</v>
      </c>
      <c r="F21" s="7">
        <v>28</v>
      </c>
      <c r="G21" s="7">
        <v>42</v>
      </c>
      <c r="H21" s="92">
        <v>0</v>
      </c>
      <c r="I21" s="86">
        <v>93</v>
      </c>
      <c r="J21" s="7">
        <v>52</v>
      </c>
      <c r="K21" s="86">
        <v>46</v>
      </c>
      <c r="L21" s="7">
        <v>14</v>
      </c>
      <c r="M21" s="7">
        <v>48</v>
      </c>
      <c r="N21" s="7">
        <v>38</v>
      </c>
      <c r="O21" s="86">
        <v>45</v>
      </c>
      <c r="P21" s="81">
        <v>0</v>
      </c>
      <c r="Q21" s="81">
        <v>0</v>
      </c>
      <c r="R21" s="7">
        <v>45</v>
      </c>
      <c r="S21" s="7">
        <v>30</v>
      </c>
      <c r="T21" s="81">
        <v>0</v>
      </c>
      <c r="U21" s="86">
        <v>132</v>
      </c>
      <c r="V21" s="81">
        <v>0</v>
      </c>
      <c r="W21" s="7">
        <v>70</v>
      </c>
      <c r="X21" s="7">
        <v>180</v>
      </c>
      <c r="Y21" s="7">
        <v>40</v>
      </c>
      <c r="Z21" s="97">
        <v>43</v>
      </c>
      <c r="AA21" s="7">
        <v>9</v>
      </c>
      <c r="AB21" s="7">
        <v>21</v>
      </c>
      <c r="AC21" s="7">
        <v>50</v>
      </c>
      <c r="AD21" s="86">
        <v>94</v>
      </c>
      <c r="AE21" s="7">
        <v>50</v>
      </c>
      <c r="AF21" s="86">
        <v>47</v>
      </c>
      <c r="AG21" s="100" t="s">
        <v>150</v>
      </c>
      <c r="AH21" s="100">
        <v>0</v>
      </c>
      <c r="AI21" s="100">
        <v>0</v>
      </c>
      <c r="AJ21" s="86">
        <v>50</v>
      </c>
      <c r="AK21" s="52">
        <v>10</v>
      </c>
      <c r="AL21" s="100">
        <v>0</v>
      </c>
      <c r="AM21" s="52">
        <v>50</v>
      </c>
      <c r="AN21" s="52">
        <v>47</v>
      </c>
      <c r="AO21" s="52">
        <v>6</v>
      </c>
      <c r="AP21" s="38">
        <v>50</v>
      </c>
      <c r="AQ21" s="89">
        <f>(((SUM(E21:AP21))/(AQ13-0))*100)</f>
        <v>62.182741116751274</v>
      </c>
      <c r="AR21" s="7"/>
      <c r="AS21" s="7" t="s">
        <v>42</v>
      </c>
      <c r="AT21" s="32">
        <v>12</v>
      </c>
      <c r="AU21" s="110">
        <f>'Grades - 1st Term'!BO21+AT21</f>
        <v>25</v>
      </c>
      <c r="AV21" s="2"/>
      <c r="AW21" s="41">
        <v>68.35236541598695</v>
      </c>
      <c r="AX21" s="41">
        <f t="shared" si="0"/>
        <v>62.182741116751274</v>
      </c>
      <c r="AY21" s="41"/>
      <c r="AZ21" s="43"/>
      <c r="BA21" s="43"/>
      <c r="BB21" s="46"/>
      <c r="BC21" s="42"/>
      <c r="BD21" s="45"/>
      <c r="BE21" s="4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57" s="2" customFormat="1" ht="15" customHeight="1">
      <c r="A22" s="7" t="s">
        <v>43</v>
      </c>
      <c r="B22" s="7"/>
      <c r="C22" s="7"/>
      <c r="D22" s="7"/>
      <c r="E22" s="7">
        <v>23</v>
      </c>
      <c r="F22" s="7">
        <v>22</v>
      </c>
      <c r="G22" s="81">
        <v>0</v>
      </c>
      <c r="H22" s="86">
        <v>35</v>
      </c>
      <c r="I22" s="86">
        <v>93</v>
      </c>
      <c r="J22" s="7">
        <v>71</v>
      </c>
      <c r="K22" s="97">
        <v>34</v>
      </c>
      <c r="L22" s="81">
        <v>0</v>
      </c>
      <c r="M22" s="82" t="s">
        <v>77</v>
      </c>
      <c r="N22" s="7">
        <v>30</v>
      </c>
      <c r="O22" s="97">
        <v>37</v>
      </c>
      <c r="P22" s="81">
        <v>0</v>
      </c>
      <c r="Q22" s="81">
        <v>0</v>
      </c>
      <c r="R22" s="7">
        <v>45</v>
      </c>
      <c r="S22" s="7">
        <v>35</v>
      </c>
      <c r="T22" s="7">
        <v>20</v>
      </c>
      <c r="U22" s="86">
        <v>111</v>
      </c>
      <c r="V22" s="81">
        <v>0</v>
      </c>
      <c r="W22" s="7">
        <v>78</v>
      </c>
      <c r="X22" s="7">
        <v>225</v>
      </c>
      <c r="Y22" s="81">
        <v>0</v>
      </c>
      <c r="Z22" s="86">
        <v>38</v>
      </c>
      <c r="AA22" s="7">
        <v>15</v>
      </c>
      <c r="AB22" s="7">
        <v>9</v>
      </c>
      <c r="AC22" s="7">
        <v>50</v>
      </c>
      <c r="AD22" s="97">
        <v>98</v>
      </c>
      <c r="AE22" s="7">
        <v>50</v>
      </c>
      <c r="AF22" s="97">
        <v>109</v>
      </c>
      <c r="AG22" s="129">
        <f>85+0+75</f>
        <v>160</v>
      </c>
      <c r="AH22" s="100">
        <v>0</v>
      </c>
      <c r="AI22" s="100">
        <v>0</v>
      </c>
      <c r="AJ22" s="87">
        <v>15</v>
      </c>
      <c r="AK22" s="52">
        <v>12</v>
      </c>
      <c r="AL22" s="52">
        <v>50</v>
      </c>
      <c r="AM22" s="52">
        <v>40</v>
      </c>
      <c r="AN22" s="52">
        <v>45</v>
      </c>
      <c r="AO22" s="52"/>
      <c r="AP22" s="38"/>
      <c r="AQ22" s="27">
        <f>((SUM(E22:AP22))/(AQ13-50))*100</f>
        <v>66.98357821953329</v>
      </c>
      <c r="AR22" s="7"/>
      <c r="AS22" s="7" t="s">
        <v>43</v>
      </c>
      <c r="AT22" s="32">
        <v>10</v>
      </c>
      <c r="AU22" s="110">
        <f>'Grades - 1st Term'!BO22+AT22</f>
        <v>25</v>
      </c>
      <c r="AW22" s="41">
        <v>59.51005981511691</v>
      </c>
      <c r="AX22" s="41">
        <f t="shared" si="0"/>
        <v>66.98357821953329</v>
      </c>
      <c r="AY22" s="41"/>
      <c r="AZ22" s="43"/>
      <c r="BA22" s="43"/>
      <c r="BB22" s="46"/>
      <c r="BC22" s="42"/>
      <c r="BD22" s="45"/>
      <c r="BE22" s="44"/>
    </row>
    <row r="23" spans="1:82" s="1" customFormat="1" ht="15" customHeight="1">
      <c r="A23" s="7" t="s">
        <v>44</v>
      </c>
      <c r="B23" s="7"/>
      <c r="C23" s="7"/>
      <c r="D23" s="7"/>
      <c r="E23" s="7">
        <v>34</v>
      </c>
      <c r="F23" s="81">
        <v>0</v>
      </c>
      <c r="G23" s="81">
        <v>0</v>
      </c>
      <c r="H23" s="92">
        <v>0</v>
      </c>
      <c r="I23" s="86">
        <v>78</v>
      </c>
      <c r="J23" s="7">
        <v>56</v>
      </c>
      <c r="K23" s="92">
        <v>0</v>
      </c>
      <c r="L23" s="81">
        <v>0</v>
      </c>
      <c r="M23" s="7">
        <v>0</v>
      </c>
      <c r="N23" s="7">
        <v>31</v>
      </c>
      <c r="O23" s="92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92">
        <v>0</v>
      </c>
      <c r="V23" s="81">
        <v>0</v>
      </c>
      <c r="W23" s="7">
        <v>76</v>
      </c>
      <c r="X23" s="81">
        <v>0</v>
      </c>
      <c r="Y23" s="81">
        <v>0</v>
      </c>
      <c r="Z23" s="97">
        <v>43</v>
      </c>
      <c r="AA23" s="81">
        <v>0</v>
      </c>
      <c r="AB23" s="7">
        <v>15</v>
      </c>
      <c r="AC23" s="81">
        <v>0</v>
      </c>
      <c r="AD23" s="92">
        <v>0</v>
      </c>
      <c r="AE23" s="81">
        <v>0</v>
      </c>
      <c r="AF23" s="98">
        <v>50</v>
      </c>
      <c r="AG23" s="100" t="s">
        <v>156</v>
      </c>
      <c r="AH23" s="100">
        <v>0</v>
      </c>
      <c r="AI23" s="100">
        <v>0</v>
      </c>
      <c r="AJ23" s="87">
        <v>24</v>
      </c>
      <c r="AK23" s="52">
        <v>10</v>
      </c>
      <c r="AL23" s="100">
        <v>0</v>
      </c>
      <c r="AM23" s="100">
        <v>0</v>
      </c>
      <c r="AN23" s="52">
        <v>38</v>
      </c>
      <c r="AO23" s="52"/>
      <c r="AP23" s="38"/>
      <c r="AQ23" s="89">
        <f>(((SUM(E23:AP23))/(AQ13-0))*100)+1</f>
        <v>20.24703891708968</v>
      </c>
      <c r="AR23" s="7"/>
      <c r="AS23" s="7" t="s">
        <v>44</v>
      </c>
      <c r="AT23" s="32">
        <v>3</v>
      </c>
      <c r="AU23" s="111">
        <f>'Grades - 1st Term'!BO23+AT23</f>
        <v>8</v>
      </c>
      <c r="AV23" s="2"/>
      <c r="AW23" s="41">
        <v>35.14917127071823</v>
      </c>
      <c r="AX23" s="41">
        <f t="shared" si="0"/>
        <v>20.24703891708968</v>
      </c>
      <c r="AY23" s="41"/>
      <c r="AZ23" s="43"/>
      <c r="BA23" s="43"/>
      <c r="BB23" s="46"/>
      <c r="BC23" s="42"/>
      <c r="BD23" s="45"/>
      <c r="BE23" s="44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57" ht="15" customHeight="1">
      <c r="A24" s="7" t="s">
        <v>45</v>
      </c>
      <c r="B24" s="7"/>
      <c r="C24" s="7"/>
      <c r="D24" s="7"/>
      <c r="E24" s="7">
        <v>32</v>
      </c>
      <c r="F24" s="7">
        <v>24</v>
      </c>
      <c r="G24" s="81">
        <v>0</v>
      </c>
      <c r="H24" s="86">
        <v>47</v>
      </c>
      <c r="I24" s="86">
        <v>78</v>
      </c>
      <c r="J24" s="7">
        <v>85</v>
      </c>
      <c r="K24" s="86">
        <v>50</v>
      </c>
      <c r="L24" s="7">
        <v>7</v>
      </c>
      <c r="M24" s="7">
        <v>49</v>
      </c>
      <c r="N24" s="7">
        <v>42</v>
      </c>
      <c r="O24" s="86">
        <v>45</v>
      </c>
      <c r="P24" s="7">
        <v>55</v>
      </c>
      <c r="Q24" s="7">
        <v>22</v>
      </c>
      <c r="R24" s="7">
        <v>45</v>
      </c>
      <c r="S24" s="7">
        <v>30</v>
      </c>
      <c r="T24" s="7">
        <v>22</v>
      </c>
      <c r="U24" s="86">
        <v>136</v>
      </c>
      <c r="V24" s="7">
        <v>48</v>
      </c>
      <c r="W24" s="7">
        <v>122</v>
      </c>
      <c r="X24" s="7">
        <v>225</v>
      </c>
      <c r="Y24" s="81">
        <v>0</v>
      </c>
      <c r="Z24" s="86">
        <v>44</v>
      </c>
      <c r="AA24" s="7">
        <v>29</v>
      </c>
      <c r="AB24" s="7">
        <v>15</v>
      </c>
      <c r="AC24" s="7">
        <v>50</v>
      </c>
      <c r="AD24" s="86">
        <v>94</v>
      </c>
      <c r="AE24" s="7">
        <v>50</v>
      </c>
      <c r="AF24" s="86">
        <v>87</v>
      </c>
      <c r="AG24" s="129">
        <f>75+40+55</f>
        <v>170</v>
      </c>
      <c r="AH24" s="52">
        <v>25</v>
      </c>
      <c r="AI24" s="100">
        <v>0</v>
      </c>
      <c r="AJ24" s="86">
        <v>36</v>
      </c>
      <c r="AK24" s="52">
        <v>16</v>
      </c>
      <c r="AL24" s="100">
        <v>0</v>
      </c>
      <c r="AM24" s="52">
        <v>50</v>
      </c>
      <c r="AN24" s="52">
        <v>73</v>
      </c>
      <c r="AO24" s="52">
        <v>12</v>
      </c>
      <c r="AP24" s="38"/>
      <c r="AQ24" s="27">
        <f>((SUM(E24:AP24))/(AQ13-0))*100</f>
        <v>81.0067681895093</v>
      </c>
      <c r="AR24" s="7"/>
      <c r="AS24" s="7" t="s">
        <v>45</v>
      </c>
      <c r="AT24" s="32">
        <v>13</v>
      </c>
      <c r="AU24" s="110">
        <f>'Grades - 1st Term'!BO24+AT24</f>
        <v>29</v>
      </c>
      <c r="AV24" s="2"/>
      <c r="AW24" s="41">
        <v>89.52637302882002</v>
      </c>
      <c r="AX24" s="41">
        <f t="shared" si="0"/>
        <v>81.0067681895093</v>
      </c>
      <c r="AY24" s="41"/>
      <c r="AZ24" s="43"/>
      <c r="BA24" s="43"/>
      <c r="BB24" s="46"/>
      <c r="BC24" s="42"/>
      <c r="BD24" s="45"/>
      <c r="BE24" s="44"/>
    </row>
    <row r="25" spans="1:57" ht="15" customHeight="1">
      <c r="A25" s="7">
        <v>11208</v>
      </c>
      <c r="B25" s="7"/>
      <c r="C25" s="7"/>
      <c r="D25" s="7"/>
      <c r="E25" s="82" t="s">
        <v>77</v>
      </c>
      <c r="F25" s="82" t="s">
        <v>77</v>
      </c>
      <c r="G25" s="82" t="s">
        <v>77</v>
      </c>
      <c r="H25" s="92">
        <v>0</v>
      </c>
      <c r="I25" s="86">
        <v>85</v>
      </c>
      <c r="J25" s="7">
        <v>75</v>
      </c>
      <c r="K25" s="92">
        <v>0</v>
      </c>
      <c r="L25" s="81">
        <v>0</v>
      </c>
      <c r="M25" s="82" t="s">
        <v>77</v>
      </c>
      <c r="N25" s="7">
        <v>48</v>
      </c>
      <c r="O25" s="92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6">
        <v>131</v>
      </c>
      <c r="V25" s="81">
        <v>0</v>
      </c>
      <c r="W25" s="7">
        <v>148</v>
      </c>
      <c r="X25" s="81">
        <v>0</v>
      </c>
      <c r="Y25" s="81">
        <v>0</v>
      </c>
      <c r="Z25" s="92">
        <v>0</v>
      </c>
      <c r="AA25" s="82" t="s">
        <v>77</v>
      </c>
      <c r="AB25" s="82" t="s">
        <v>77</v>
      </c>
      <c r="AC25" s="81">
        <v>0</v>
      </c>
      <c r="AD25" s="92">
        <v>0</v>
      </c>
      <c r="AE25" s="81">
        <v>0</v>
      </c>
      <c r="AF25" s="92">
        <v>0</v>
      </c>
      <c r="AG25" s="100" t="s">
        <v>158</v>
      </c>
      <c r="AH25" s="100">
        <v>0</v>
      </c>
      <c r="AI25" s="100">
        <v>0</v>
      </c>
      <c r="AJ25" s="92">
        <v>0</v>
      </c>
      <c r="AK25" s="52">
        <v>16</v>
      </c>
      <c r="AL25" s="100">
        <v>0</v>
      </c>
      <c r="AM25" s="100">
        <v>0</v>
      </c>
      <c r="AN25" s="100">
        <v>0</v>
      </c>
      <c r="AO25" s="52"/>
      <c r="AP25" s="38"/>
      <c r="AQ25" s="89">
        <f>((SUM(E25:AP25))/(AQ13-199))*100</f>
        <v>23.233256351039262</v>
      </c>
      <c r="AR25" s="7"/>
      <c r="AS25" s="7">
        <v>11208</v>
      </c>
      <c r="AT25" s="32">
        <v>4</v>
      </c>
      <c r="AU25" s="111">
        <f>'Grades - 1st Term'!BO25+AT25</f>
        <v>11</v>
      </c>
      <c r="AV25" s="2"/>
      <c r="AW25" s="41">
        <v>40.24458032240133</v>
      </c>
      <c r="AX25" s="41">
        <f t="shared" si="0"/>
        <v>23.233256351039262</v>
      </c>
      <c r="AY25" s="41"/>
      <c r="AZ25" s="43"/>
      <c r="BA25" s="43"/>
      <c r="BB25" s="46"/>
      <c r="BC25" s="42"/>
      <c r="BD25" s="45"/>
      <c r="BE25" s="44"/>
    </row>
    <row r="26" spans="1:57" ht="15" customHeight="1">
      <c r="A26" s="7">
        <v>10145</v>
      </c>
      <c r="B26" s="7"/>
      <c r="C26" s="7"/>
      <c r="D26" s="7"/>
      <c r="E26" s="7">
        <v>30</v>
      </c>
      <c r="F26" s="81">
        <v>0</v>
      </c>
      <c r="G26" s="7">
        <v>37</v>
      </c>
      <c r="H26" s="86">
        <v>50</v>
      </c>
      <c r="I26" s="86">
        <v>100</v>
      </c>
      <c r="J26" s="7">
        <v>86</v>
      </c>
      <c r="K26" s="86">
        <v>50</v>
      </c>
      <c r="L26" s="7">
        <v>14</v>
      </c>
      <c r="M26" s="7">
        <v>44</v>
      </c>
      <c r="N26" s="7">
        <v>45</v>
      </c>
      <c r="O26" s="86">
        <v>45</v>
      </c>
      <c r="P26" s="7">
        <v>60</v>
      </c>
      <c r="Q26" s="7">
        <v>25</v>
      </c>
      <c r="R26" s="7">
        <v>45</v>
      </c>
      <c r="S26" s="7">
        <v>35</v>
      </c>
      <c r="T26" s="7">
        <v>25</v>
      </c>
      <c r="U26" s="86">
        <v>128</v>
      </c>
      <c r="V26" s="7">
        <v>50</v>
      </c>
      <c r="W26" s="7">
        <v>146</v>
      </c>
      <c r="X26" s="81">
        <v>0</v>
      </c>
      <c r="Y26" s="7">
        <v>35</v>
      </c>
      <c r="Z26" s="86">
        <v>46</v>
      </c>
      <c r="AA26" s="7">
        <v>24</v>
      </c>
      <c r="AB26" s="7">
        <v>21</v>
      </c>
      <c r="AC26" s="7">
        <v>50</v>
      </c>
      <c r="AD26" s="86">
        <v>100</v>
      </c>
      <c r="AE26" s="7">
        <v>50</v>
      </c>
      <c r="AF26" s="97">
        <v>102</v>
      </c>
      <c r="AG26" s="100" t="s">
        <v>149</v>
      </c>
      <c r="AH26" s="52">
        <v>24</v>
      </c>
      <c r="AI26" s="100">
        <v>0</v>
      </c>
      <c r="AJ26" s="86">
        <v>39</v>
      </c>
      <c r="AK26" s="52">
        <v>12</v>
      </c>
      <c r="AL26" s="52">
        <v>50</v>
      </c>
      <c r="AM26" s="52">
        <v>50</v>
      </c>
      <c r="AN26" s="52">
        <v>88</v>
      </c>
      <c r="AO26" s="52">
        <v>6</v>
      </c>
      <c r="AP26" s="38"/>
      <c r="AQ26" s="27">
        <f>((SUM(E26:AP26))/(AQ13-0))*100</f>
        <v>72.41962774957699</v>
      </c>
      <c r="AR26" s="7"/>
      <c r="AS26" s="7">
        <v>10145</v>
      </c>
      <c r="AT26" s="32">
        <v>13</v>
      </c>
      <c r="AU26" s="110">
        <f>'Grades - 1st Term'!BO26+AT26</f>
        <v>27</v>
      </c>
      <c r="AV26" s="2"/>
      <c r="AW26" s="41">
        <v>85.1974921630094</v>
      </c>
      <c r="AX26" s="41">
        <f t="shared" si="0"/>
        <v>72.41962774957699</v>
      </c>
      <c r="AY26" s="41"/>
      <c r="AZ26" s="43"/>
      <c r="BA26" s="43"/>
      <c r="BB26" s="46"/>
      <c r="BC26" s="42"/>
      <c r="BD26" s="45"/>
      <c r="BE26" s="44"/>
    </row>
    <row r="27" spans="1:57" ht="15" customHeight="1">
      <c r="A27" s="7" t="s">
        <v>46</v>
      </c>
      <c r="B27" s="7"/>
      <c r="C27" s="7"/>
      <c r="D27" s="7"/>
      <c r="E27" s="7">
        <v>40</v>
      </c>
      <c r="F27" s="7">
        <v>30</v>
      </c>
      <c r="G27" s="7">
        <v>43</v>
      </c>
      <c r="H27" s="86">
        <v>46</v>
      </c>
      <c r="I27" s="86">
        <v>88</v>
      </c>
      <c r="J27" s="7">
        <v>46</v>
      </c>
      <c r="K27" s="86">
        <v>46</v>
      </c>
      <c r="L27" s="7">
        <v>13</v>
      </c>
      <c r="M27" s="7">
        <v>50</v>
      </c>
      <c r="N27" s="7">
        <v>43</v>
      </c>
      <c r="O27" s="86">
        <v>45</v>
      </c>
      <c r="P27" s="7">
        <v>60</v>
      </c>
      <c r="Q27" s="81">
        <v>0</v>
      </c>
      <c r="R27" s="7">
        <v>40</v>
      </c>
      <c r="S27" s="7">
        <v>35</v>
      </c>
      <c r="T27" s="7">
        <v>22</v>
      </c>
      <c r="U27" s="86">
        <v>121</v>
      </c>
      <c r="V27" s="7">
        <v>40</v>
      </c>
      <c r="W27" s="7">
        <v>72</v>
      </c>
      <c r="X27" s="7">
        <v>180</v>
      </c>
      <c r="Y27" s="81">
        <v>0</v>
      </c>
      <c r="Z27" s="86">
        <v>35</v>
      </c>
      <c r="AA27" s="7">
        <v>8</v>
      </c>
      <c r="AB27" s="7">
        <v>21</v>
      </c>
      <c r="AC27" s="7">
        <v>50</v>
      </c>
      <c r="AD27" s="86">
        <v>96</v>
      </c>
      <c r="AE27" s="7">
        <v>42</v>
      </c>
      <c r="AF27" s="87">
        <v>86</v>
      </c>
      <c r="AG27" s="129">
        <f>95+30+100</f>
        <v>225</v>
      </c>
      <c r="AH27" s="100">
        <v>0</v>
      </c>
      <c r="AI27" s="100">
        <v>0</v>
      </c>
      <c r="AJ27" s="92">
        <v>0</v>
      </c>
      <c r="AK27" s="99" t="s">
        <v>77</v>
      </c>
      <c r="AL27" s="100">
        <v>0</v>
      </c>
      <c r="AM27" s="52">
        <v>50</v>
      </c>
      <c r="AN27" s="52">
        <v>42</v>
      </c>
      <c r="AO27" s="52"/>
      <c r="AP27" s="38"/>
      <c r="AQ27" s="27">
        <f>((SUM(E27:AP27))/(AQ13-20))*100</f>
        <v>73.1655290102389</v>
      </c>
      <c r="AR27" s="7"/>
      <c r="AS27" s="7" t="s">
        <v>46</v>
      </c>
      <c r="AT27" s="32">
        <v>10</v>
      </c>
      <c r="AU27" s="110">
        <f>'Grades - 1st Term'!BO27+AT27</f>
        <v>24</v>
      </c>
      <c r="AW27" s="41">
        <v>64.70908102229473</v>
      </c>
      <c r="AX27" s="41">
        <f t="shared" si="0"/>
        <v>73.1655290102389</v>
      </c>
      <c r="AY27" s="41"/>
      <c r="AZ27" s="43"/>
      <c r="BA27" s="43"/>
      <c r="BB27" s="46"/>
      <c r="BC27" s="42"/>
      <c r="BD27" s="45"/>
      <c r="BE27" s="44"/>
    </row>
    <row r="28" spans="1:57" ht="15" customHeight="1">
      <c r="A28" s="7" t="s">
        <v>47</v>
      </c>
      <c r="B28" s="7"/>
      <c r="C28" s="7"/>
      <c r="D28" s="7"/>
      <c r="E28" s="7">
        <v>32</v>
      </c>
      <c r="F28" s="7">
        <v>26</v>
      </c>
      <c r="G28" s="7">
        <v>41</v>
      </c>
      <c r="H28" s="86">
        <v>48</v>
      </c>
      <c r="I28" s="86">
        <v>88</v>
      </c>
      <c r="J28" s="7">
        <v>67</v>
      </c>
      <c r="K28" s="86">
        <v>50</v>
      </c>
      <c r="L28" s="7">
        <v>15</v>
      </c>
      <c r="M28" s="7">
        <v>50</v>
      </c>
      <c r="N28" s="7">
        <v>37</v>
      </c>
      <c r="O28" s="86">
        <v>45</v>
      </c>
      <c r="P28" s="7">
        <v>55</v>
      </c>
      <c r="Q28" s="7">
        <v>15</v>
      </c>
      <c r="R28" s="7">
        <v>45</v>
      </c>
      <c r="S28" s="7">
        <v>30</v>
      </c>
      <c r="T28" s="7">
        <v>25</v>
      </c>
      <c r="U28" s="86">
        <v>129</v>
      </c>
      <c r="V28" s="7">
        <v>34</v>
      </c>
      <c r="W28" s="7">
        <v>70</v>
      </c>
      <c r="X28" s="7">
        <v>180</v>
      </c>
      <c r="Y28" s="7">
        <v>40</v>
      </c>
      <c r="Z28" s="97">
        <v>46</v>
      </c>
      <c r="AA28" s="7">
        <v>21</v>
      </c>
      <c r="AB28" s="7">
        <v>15</v>
      </c>
      <c r="AC28" s="7">
        <v>50</v>
      </c>
      <c r="AD28" s="86">
        <v>96</v>
      </c>
      <c r="AE28" s="7">
        <v>30</v>
      </c>
      <c r="AF28" s="86">
        <v>88</v>
      </c>
      <c r="AG28" s="129">
        <f>70+30+100</f>
        <v>200</v>
      </c>
      <c r="AH28" s="52">
        <v>25</v>
      </c>
      <c r="AI28" s="52">
        <v>50</v>
      </c>
      <c r="AJ28" s="86">
        <v>24</v>
      </c>
      <c r="AK28" s="52">
        <v>8</v>
      </c>
      <c r="AL28" s="100">
        <v>0</v>
      </c>
      <c r="AM28" s="52">
        <v>50</v>
      </c>
      <c r="AN28" s="52">
        <v>41</v>
      </c>
      <c r="AO28" s="52">
        <v>21</v>
      </c>
      <c r="AP28" s="38">
        <v>150</v>
      </c>
      <c r="AQ28" s="27">
        <f>(((SUM(E28:AP28))/(AQ13-0))*100)</f>
        <v>86.16751269035532</v>
      </c>
      <c r="AR28" s="7"/>
      <c r="AS28" s="7" t="s">
        <v>47</v>
      </c>
      <c r="AT28" s="32">
        <v>13</v>
      </c>
      <c r="AU28" s="110">
        <f>'Grades - 1st Term'!BO28+AT28</f>
        <v>26</v>
      </c>
      <c r="AW28" s="41">
        <v>78.03153887982599</v>
      </c>
      <c r="AX28" s="41">
        <f t="shared" si="0"/>
        <v>86.16751269035532</v>
      </c>
      <c r="AY28" s="41"/>
      <c r="AZ28" s="43"/>
      <c r="BA28" s="43"/>
      <c r="BB28" s="46"/>
      <c r="BC28" s="42"/>
      <c r="BD28" s="45"/>
      <c r="BE28" s="44"/>
    </row>
    <row r="29" spans="1:57" ht="15" customHeight="1">
      <c r="A29" s="7" t="s">
        <v>48</v>
      </c>
      <c r="B29" s="7"/>
      <c r="C29" s="7"/>
      <c r="D29" s="7"/>
      <c r="E29" s="7">
        <v>30</v>
      </c>
      <c r="F29" s="81">
        <v>0</v>
      </c>
      <c r="G29" s="81">
        <v>0</v>
      </c>
      <c r="H29" s="92">
        <v>0</v>
      </c>
      <c r="I29" s="86">
        <v>75</v>
      </c>
      <c r="J29" s="7">
        <v>84</v>
      </c>
      <c r="K29" s="87">
        <v>28</v>
      </c>
      <c r="L29" s="81">
        <v>0</v>
      </c>
      <c r="M29" s="7">
        <v>31</v>
      </c>
      <c r="N29" s="7">
        <v>40</v>
      </c>
      <c r="O29" s="92">
        <v>0</v>
      </c>
      <c r="P29" s="81">
        <v>0</v>
      </c>
      <c r="Q29" s="81">
        <v>0</v>
      </c>
      <c r="R29" s="82" t="s">
        <v>77</v>
      </c>
      <c r="S29" s="81">
        <v>0</v>
      </c>
      <c r="T29" s="81">
        <v>0</v>
      </c>
      <c r="U29" s="92">
        <v>0</v>
      </c>
      <c r="V29" s="81">
        <v>0</v>
      </c>
      <c r="W29" s="7">
        <v>92</v>
      </c>
      <c r="X29" s="81">
        <v>0</v>
      </c>
      <c r="Y29" s="81">
        <v>0</v>
      </c>
      <c r="Z29" s="97">
        <v>43</v>
      </c>
      <c r="AA29" s="81">
        <v>0</v>
      </c>
      <c r="AB29" s="82" t="s">
        <v>77</v>
      </c>
      <c r="AC29" s="81">
        <v>0</v>
      </c>
      <c r="AD29" s="86">
        <v>92</v>
      </c>
      <c r="AE29" s="81">
        <v>0</v>
      </c>
      <c r="AF29" s="98">
        <v>62</v>
      </c>
      <c r="AG29" s="100" t="s">
        <v>155</v>
      </c>
      <c r="AH29" s="100">
        <v>0</v>
      </c>
      <c r="AI29" s="100">
        <v>0</v>
      </c>
      <c r="AJ29" s="86">
        <v>41</v>
      </c>
      <c r="AK29" s="52">
        <v>12</v>
      </c>
      <c r="AL29" s="100">
        <v>0</v>
      </c>
      <c r="AM29" s="100">
        <v>0</v>
      </c>
      <c r="AN29" s="52">
        <v>45</v>
      </c>
      <c r="AO29" s="52"/>
      <c r="AP29" s="38"/>
      <c r="AQ29" s="89">
        <f>((SUM(E29:AP29))/(AQ13-70))*100+1</f>
        <v>30.424585876198776</v>
      </c>
      <c r="AR29" s="7"/>
      <c r="AS29" s="7" t="s">
        <v>48</v>
      </c>
      <c r="AT29" s="32">
        <v>6</v>
      </c>
      <c r="AU29" s="111">
        <f>'Grades - 1st Term'!BO29+AT29</f>
        <v>18</v>
      </c>
      <c r="AW29" s="41">
        <v>50.02718868950517</v>
      </c>
      <c r="AX29" s="41">
        <f t="shared" si="0"/>
        <v>30.424585876198776</v>
      </c>
      <c r="AY29" s="41"/>
      <c r="AZ29" s="43"/>
      <c r="BA29" s="43"/>
      <c r="BB29" s="46"/>
      <c r="BC29" s="42"/>
      <c r="BD29" s="45"/>
      <c r="BE29" s="44"/>
    </row>
    <row r="30" spans="1:57" ht="15" customHeight="1">
      <c r="A30" s="7">
        <v>10483</v>
      </c>
      <c r="B30" s="7"/>
      <c r="C30" s="7"/>
      <c r="D30" s="7"/>
      <c r="E30" s="7">
        <v>40</v>
      </c>
      <c r="F30" s="7">
        <v>30</v>
      </c>
      <c r="G30" s="7">
        <v>45</v>
      </c>
      <c r="H30" s="86">
        <v>48</v>
      </c>
      <c r="I30" s="86">
        <v>93</v>
      </c>
      <c r="J30" s="7">
        <v>70</v>
      </c>
      <c r="K30" s="86">
        <v>40</v>
      </c>
      <c r="L30" s="81">
        <v>0</v>
      </c>
      <c r="M30" s="81">
        <v>0</v>
      </c>
      <c r="N30" s="7">
        <v>42</v>
      </c>
      <c r="O30" s="86">
        <v>45</v>
      </c>
      <c r="P30" s="7">
        <v>60</v>
      </c>
      <c r="Q30" s="7">
        <v>25</v>
      </c>
      <c r="R30" s="81">
        <v>0</v>
      </c>
      <c r="S30" s="81">
        <v>0</v>
      </c>
      <c r="T30" s="81">
        <v>0</v>
      </c>
      <c r="U30" s="99" t="s">
        <v>77</v>
      </c>
      <c r="V30" s="81">
        <v>0</v>
      </c>
      <c r="W30" s="7">
        <v>74</v>
      </c>
      <c r="X30" s="81">
        <v>0</v>
      </c>
      <c r="Y30" s="7">
        <v>40</v>
      </c>
      <c r="Z30" s="86">
        <v>35</v>
      </c>
      <c r="AA30" s="7">
        <v>5</v>
      </c>
      <c r="AB30" s="7">
        <v>15</v>
      </c>
      <c r="AC30" s="81">
        <v>0</v>
      </c>
      <c r="AD30" s="86">
        <v>100</v>
      </c>
      <c r="AE30" s="7">
        <v>50</v>
      </c>
      <c r="AF30" s="97">
        <v>131</v>
      </c>
      <c r="AG30" s="129">
        <f>40+0+0</f>
        <v>40</v>
      </c>
      <c r="AH30" s="52">
        <v>25</v>
      </c>
      <c r="AI30" s="100">
        <v>0</v>
      </c>
      <c r="AJ30" s="92">
        <v>0</v>
      </c>
      <c r="AK30" s="52">
        <v>8</v>
      </c>
      <c r="AL30" s="100">
        <v>0</v>
      </c>
      <c r="AM30" s="52">
        <v>50</v>
      </c>
      <c r="AN30" s="52">
        <v>33</v>
      </c>
      <c r="AO30" s="52">
        <v>25</v>
      </c>
      <c r="AP30" s="38"/>
      <c r="AQ30" s="89">
        <f>((SUM(E30:AP30))/(AQ13-150))*100+2</f>
        <v>54.8003613369467</v>
      </c>
      <c r="AR30" s="7"/>
      <c r="AS30" s="7">
        <v>10483</v>
      </c>
      <c r="AT30" s="32">
        <v>10</v>
      </c>
      <c r="AU30" s="110">
        <f>'Grades - 1st Term'!BO30+AT30</f>
        <v>22</v>
      </c>
      <c r="AW30" s="41">
        <v>65.61056105610561</v>
      </c>
      <c r="AX30" s="41">
        <f t="shared" si="0"/>
        <v>54.8003613369467</v>
      </c>
      <c r="AY30" s="41"/>
      <c r="AZ30" s="43"/>
      <c r="BA30" s="43"/>
      <c r="BB30" s="46"/>
      <c r="BC30" s="42"/>
      <c r="BD30" s="45"/>
      <c r="BE30" s="44"/>
    </row>
    <row r="31" spans="1:57" ht="15" customHeight="1">
      <c r="A31" s="7">
        <v>10567</v>
      </c>
      <c r="B31" s="7"/>
      <c r="C31" s="7"/>
      <c r="D31" s="7"/>
      <c r="E31" s="81">
        <v>0</v>
      </c>
      <c r="F31" s="81">
        <v>0</v>
      </c>
      <c r="G31" s="81">
        <v>0</v>
      </c>
      <c r="H31" s="86">
        <v>44</v>
      </c>
      <c r="I31" s="86">
        <v>86</v>
      </c>
      <c r="J31" s="7">
        <v>80</v>
      </c>
      <c r="K31" s="98">
        <v>26</v>
      </c>
      <c r="L31" s="81">
        <v>0</v>
      </c>
      <c r="M31" s="82" t="s">
        <v>77</v>
      </c>
      <c r="N31" s="7">
        <v>32</v>
      </c>
      <c r="O31" s="86">
        <v>45</v>
      </c>
      <c r="P31" s="81">
        <v>0</v>
      </c>
      <c r="Q31" s="7">
        <v>15</v>
      </c>
      <c r="R31" s="7">
        <v>40</v>
      </c>
      <c r="S31" s="7">
        <v>30</v>
      </c>
      <c r="T31" s="7">
        <v>10</v>
      </c>
      <c r="U31" s="86">
        <v>113</v>
      </c>
      <c r="V31" s="81">
        <v>0</v>
      </c>
      <c r="W31" s="7">
        <v>46</v>
      </c>
      <c r="X31" s="81">
        <v>0</v>
      </c>
      <c r="Y31" s="81">
        <v>0</v>
      </c>
      <c r="Z31" s="86">
        <v>47</v>
      </c>
      <c r="AA31" s="7">
        <v>19</v>
      </c>
      <c r="AB31" s="7">
        <v>15</v>
      </c>
      <c r="AC31" s="7">
        <v>50</v>
      </c>
      <c r="AD31" s="86">
        <v>90</v>
      </c>
      <c r="AE31" s="81">
        <v>0</v>
      </c>
      <c r="AF31" s="97">
        <v>105</v>
      </c>
      <c r="AG31" s="129">
        <f>0+10+0</f>
        <v>10</v>
      </c>
      <c r="AH31" s="100">
        <v>0</v>
      </c>
      <c r="AI31" s="100">
        <v>0</v>
      </c>
      <c r="AJ31" s="86">
        <v>39</v>
      </c>
      <c r="AK31" s="52">
        <v>6</v>
      </c>
      <c r="AL31" s="100">
        <v>0</v>
      </c>
      <c r="AM31" s="52">
        <v>50</v>
      </c>
      <c r="AN31" s="52">
        <v>34</v>
      </c>
      <c r="AO31" s="52"/>
      <c r="AP31" s="38"/>
      <c r="AQ31" s="89">
        <f>((SUM(E31:AP31))/(AQ13-50))*100</f>
        <v>44.5980985306828</v>
      </c>
      <c r="AR31" s="7"/>
      <c r="AS31" s="7">
        <v>10567</v>
      </c>
      <c r="AT31" s="32">
        <v>12</v>
      </c>
      <c r="AU31" s="110">
        <f>'Grades - 1st Term'!BO31+AT31</f>
        <v>26</v>
      </c>
      <c r="AW31" s="41">
        <v>56.98749320282762</v>
      </c>
      <c r="AX31" s="41">
        <f t="shared" si="0"/>
        <v>44.5980985306828</v>
      </c>
      <c r="AY31" s="41"/>
      <c r="AZ31" s="43"/>
      <c r="BA31" s="43"/>
      <c r="BB31" s="46"/>
      <c r="BC31" s="42"/>
      <c r="BD31" s="45"/>
      <c r="BE31" s="44"/>
    </row>
    <row r="32" spans="1:57" ht="15" customHeight="1">
      <c r="A32" s="7" t="s">
        <v>49</v>
      </c>
      <c r="B32" s="7"/>
      <c r="C32" s="7"/>
      <c r="D32" s="7"/>
      <c r="E32" s="81">
        <v>0</v>
      </c>
      <c r="F32" s="81">
        <v>0</v>
      </c>
      <c r="G32" s="81">
        <v>0</v>
      </c>
      <c r="H32" s="92">
        <v>0</v>
      </c>
      <c r="I32" s="92">
        <v>0</v>
      </c>
      <c r="J32" s="7">
        <v>38</v>
      </c>
      <c r="K32" s="92">
        <v>0</v>
      </c>
      <c r="L32" s="81">
        <v>0</v>
      </c>
      <c r="M32" s="82" t="s">
        <v>77</v>
      </c>
      <c r="N32" s="81">
        <v>0</v>
      </c>
      <c r="O32" s="92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6">
        <v>119</v>
      </c>
      <c r="V32" s="81">
        <v>0</v>
      </c>
      <c r="W32" s="7">
        <v>66</v>
      </c>
      <c r="X32" s="81">
        <v>0</v>
      </c>
      <c r="Y32" s="81">
        <v>0</v>
      </c>
      <c r="Z32" s="92">
        <v>0</v>
      </c>
      <c r="AA32" s="7">
        <v>20</v>
      </c>
      <c r="AB32" s="7">
        <v>23</v>
      </c>
      <c r="AC32" s="7">
        <v>20</v>
      </c>
      <c r="AD32" s="92">
        <v>0</v>
      </c>
      <c r="AE32" s="81">
        <v>0</v>
      </c>
      <c r="AF32" s="92">
        <v>0</v>
      </c>
      <c r="AG32" s="100" t="s">
        <v>153</v>
      </c>
      <c r="AH32" s="100">
        <v>0</v>
      </c>
      <c r="AI32" s="100">
        <v>0</v>
      </c>
      <c r="AJ32" s="92">
        <v>0</v>
      </c>
      <c r="AK32" s="99" t="s">
        <v>77</v>
      </c>
      <c r="AL32" s="100">
        <v>0</v>
      </c>
      <c r="AM32" s="52">
        <v>40</v>
      </c>
      <c r="AN32" s="52">
        <v>43</v>
      </c>
      <c r="AO32" s="52"/>
      <c r="AP32" s="38"/>
      <c r="AQ32" s="89">
        <f>((SUM(E32:AP32))/(AQ13-70))*100</f>
        <v>16.085440278988667</v>
      </c>
      <c r="AR32" s="7"/>
      <c r="AS32" s="7" t="s">
        <v>49</v>
      </c>
      <c r="AT32" s="32">
        <v>2</v>
      </c>
      <c r="AU32" s="111">
        <f>'Grades - 1st Term'!BO32+AT32</f>
        <v>13</v>
      </c>
      <c r="AW32" s="41">
        <v>50.20285871357889</v>
      </c>
      <c r="AX32" s="41">
        <f t="shared" si="0"/>
        <v>16.085440278988667</v>
      </c>
      <c r="AY32" s="41"/>
      <c r="AZ32" s="43"/>
      <c r="BA32" s="43"/>
      <c r="BB32" s="46"/>
      <c r="BC32" s="42"/>
      <c r="BD32" s="45"/>
      <c r="BE32" s="44"/>
    </row>
    <row r="33" spans="1:57" ht="15" customHeight="1">
      <c r="A33" s="7" t="s">
        <v>50</v>
      </c>
      <c r="B33" s="7"/>
      <c r="C33" s="7"/>
      <c r="D33" s="7"/>
      <c r="E33" s="82" t="s">
        <v>77</v>
      </c>
      <c r="F33" s="82" t="s">
        <v>77</v>
      </c>
      <c r="G33" s="82" t="s">
        <v>77</v>
      </c>
      <c r="H33" s="82" t="s">
        <v>77</v>
      </c>
      <c r="I33" s="82" t="s">
        <v>77</v>
      </c>
      <c r="J33" s="82" t="s">
        <v>77</v>
      </c>
      <c r="K33" s="82" t="s">
        <v>77</v>
      </c>
      <c r="L33" s="82" t="s">
        <v>77</v>
      </c>
      <c r="M33" s="82" t="s">
        <v>77</v>
      </c>
      <c r="N33" s="82" t="s">
        <v>77</v>
      </c>
      <c r="O33" s="82" t="s">
        <v>77</v>
      </c>
      <c r="P33" s="82" t="s">
        <v>77</v>
      </c>
      <c r="Q33" s="82" t="s">
        <v>77</v>
      </c>
      <c r="R33" s="82" t="s">
        <v>77</v>
      </c>
      <c r="S33" s="82" t="s">
        <v>77</v>
      </c>
      <c r="T33" s="82" t="s">
        <v>77</v>
      </c>
      <c r="U33" s="82" t="s">
        <v>77</v>
      </c>
      <c r="V33" s="82" t="s">
        <v>77</v>
      </c>
      <c r="W33" s="7">
        <v>52</v>
      </c>
      <c r="X33" s="81">
        <v>0</v>
      </c>
      <c r="Y33" s="82" t="s">
        <v>77</v>
      </c>
      <c r="Z33" s="82" t="s">
        <v>77</v>
      </c>
      <c r="AA33" s="82" t="s">
        <v>77</v>
      </c>
      <c r="AB33" s="82" t="s">
        <v>77</v>
      </c>
      <c r="AC33" s="82" t="s">
        <v>77</v>
      </c>
      <c r="AD33" s="92">
        <v>0</v>
      </c>
      <c r="AE33" s="81">
        <v>0</v>
      </c>
      <c r="AF33" s="97">
        <v>135</v>
      </c>
      <c r="AG33" s="100" t="s">
        <v>151</v>
      </c>
      <c r="AH33" s="100">
        <v>0</v>
      </c>
      <c r="AI33" s="100">
        <v>0</v>
      </c>
      <c r="AJ33" s="92">
        <v>0</v>
      </c>
      <c r="AK33" s="52">
        <v>8</v>
      </c>
      <c r="AL33" s="100">
        <v>0</v>
      </c>
      <c r="AM33" s="100">
        <v>0</v>
      </c>
      <c r="AN33" s="52">
        <v>35</v>
      </c>
      <c r="AO33" s="52"/>
      <c r="AP33" s="38"/>
      <c r="AQ33" s="89">
        <f>((SUM(E33:AP33))/(AQ13-124))*100</f>
        <v>10.267857142857142</v>
      </c>
      <c r="AR33" s="7"/>
      <c r="AS33" s="7" t="s">
        <v>50</v>
      </c>
      <c r="AT33" s="32">
        <v>2</v>
      </c>
      <c r="AU33" s="111">
        <f>'Grades - 1st Term'!BO34+AT33</f>
        <v>6</v>
      </c>
      <c r="AW33" s="41">
        <v>23.779637377963738</v>
      </c>
      <c r="AX33" s="41">
        <f t="shared" si="0"/>
        <v>10.267857142857142</v>
      </c>
      <c r="AY33" s="41"/>
      <c r="AZ33" s="43"/>
      <c r="BA33" s="43"/>
      <c r="BB33" s="46"/>
      <c r="BC33" s="42"/>
      <c r="BD33" s="45"/>
      <c r="BE33" s="44"/>
    </row>
    <row r="34" spans="1:57" ht="15" customHeight="1">
      <c r="A34" s="7" t="s">
        <v>51</v>
      </c>
      <c r="B34" s="7"/>
      <c r="C34" s="7"/>
      <c r="D34" s="7"/>
      <c r="E34" s="81">
        <v>0</v>
      </c>
      <c r="F34" s="81">
        <v>0</v>
      </c>
      <c r="G34" s="7">
        <v>34</v>
      </c>
      <c r="H34" s="92">
        <v>0</v>
      </c>
      <c r="I34" s="86">
        <v>82</v>
      </c>
      <c r="J34" s="7">
        <v>18</v>
      </c>
      <c r="K34" s="92">
        <v>0</v>
      </c>
      <c r="L34" s="81">
        <v>0</v>
      </c>
      <c r="M34" s="82" t="s">
        <v>77</v>
      </c>
      <c r="N34" s="81">
        <v>0</v>
      </c>
      <c r="O34" s="97">
        <v>36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6">
        <v>122</v>
      </c>
      <c r="V34" s="81">
        <v>0</v>
      </c>
      <c r="W34" s="7">
        <v>60</v>
      </c>
      <c r="X34" s="81">
        <v>0</v>
      </c>
      <c r="Y34" s="81">
        <v>0</v>
      </c>
      <c r="Z34" s="86">
        <v>43</v>
      </c>
      <c r="AA34" s="7">
        <v>19</v>
      </c>
      <c r="AB34" s="7">
        <v>15</v>
      </c>
      <c r="AC34" s="7">
        <v>50</v>
      </c>
      <c r="AD34" s="86">
        <v>92</v>
      </c>
      <c r="AE34" s="81">
        <v>0</v>
      </c>
      <c r="AF34" s="87">
        <v>83</v>
      </c>
      <c r="AG34" s="100" t="s">
        <v>154</v>
      </c>
      <c r="AH34" s="100">
        <v>0</v>
      </c>
      <c r="AI34" s="100">
        <v>0</v>
      </c>
      <c r="AJ34" s="92">
        <v>0</v>
      </c>
      <c r="AK34" s="52">
        <v>12</v>
      </c>
      <c r="AL34" s="100">
        <v>0</v>
      </c>
      <c r="AM34" s="52">
        <v>40</v>
      </c>
      <c r="AN34" s="52">
        <v>42</v>
      </c>
      <c r="AO34" s="52"/>
      <c r="AP34" s="38"/>
      <c r="AQ34" s="89">
        <f>((SUM(E34:AP34))/(AQ13-50))*100</f>
        <v>32.32497839239412</v>
      </c>
      <c r="AR34" s="7"/>
      <c r="AS34" s="7" t="s">
        <v>51</v>
      </c>
      <c r="AT34" s="32">
        <v>7</v>
      </c>
      <c r="AU34" s="111">
        <f>'Grades - 1st Term'!BO35+AT34</f>
        <v>18</v>
      </c>
      <c r="AW34" s="41">
        <v>49.43946188340807</v>
      </c>
      <c r="AX34" s="41">
        <f t="shared" si="0"/>
        <v>32.32497839239412</v>
      </c>
      <c r="AY34" s="41"/>
      <c r="AZ34" s="43"/>
      <c r="BA34" s="43"/>
      <c r="BB34" s="46"/>
      <c r="BC34" s="42"/>
      <c r="BD34" s="45"/>
      <c r="BE34" s="44"/>
    </row>
    <row r="35" spans="1:57" ht="15" customHeight="1">
      <c r="A35" s="7">
        <v>11664</v>
      </c>
      <c r="B35" s="7"/>
      <c r="C35" s="7"/>
      <c r="D35" s="7"/>
      <c r="E35" s="7">
        <v>25</v>
      </c>
      <c r="F35" s="81">
        <v>0</v>
      </c>
      <c r="G35" s="7">
        <v>37</v>
      </c>
      <c r="H35" s="97">
        <v>50</v>
      </c>
      <c r="I35" s="86">
        <v>81</v>
      </c>
      <c r="J35" s="7">
        <v>86</v>
      </c>
      <c r="K35" s="86">
        <v>48</v>
      </c>
      <c r="L35" s="81">
        <v>0</v>
      </c>
      <c r="M35" s="81">
        <v>0</v>
      </c>
      <c r="N35" s="7">
        <v>34</v>
      </c>
      <c r="O35" s="87">
        <v>20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97">
        <v>99</v>
      </c>
      <c r="V35" s="81">
        <v>0</v>
      </c>
      <c r="W35" s="7">
        <v>128</v>
      </c>
      <c r="X35" s="81">
        <v>0</v>
      </c>
      <c r="Y35" s="81">
        <v>0</v>
      </c>
      <c r="Z35" s="97">
        <v>44</v>
      </c>
      <c r="AA35" s="7">
        <v>28</v>
      </c>
      <c r="AB35" s="7">
        <v>17</v>
      </c>
      <c r="AC35" s="7">
        <v>48</v>
      </c>
      <c r="AD35" s="86">
        <v>94</v>
      </c>
      <c r="AE35" s="81">
        <v>0</v>
      </c>
      <c r="AF35" s="97">
        <v>129</v>
      </c>
      <c r="AG35" s="100" t="s">
        <v>152</v>
      </c>
      <c r="AH35" s="52">
        <v>24</v>
      </c>
      <c r="AI35" s="100">
        <v>0</v>
      </c>
      <c r="AJ35" s="92">
        <v>0</v>
      </c>
      <c r="AK35" s="52">
        <v>10</v>
      </c>
      <c r="AL35" s="100">
        <v>0</v>
      </c>
      <c r="AM35" s="52">
        <v>50</v>
      </c>
      <c r="AN35" s="52">
        <v>73</v>
      </c>
      <c r="AO35" s="52"/>
      <c r="AP35" s="38"/>
      <c r="AQ35" s="89">
        <f>((SUM(E35:AP35))/(AQ13-0))*100+2</f>
        <v>49.588832487309645</v>
      </c>
      <c r="AR35" s="7"/>
      <c r="AS35" s="7">
        <v>11664</v>
      </c>
      <c r="AT35" s="32">
        <v>11</v>
      </c>
      <c r="AU35" s="110">
        <f>'Grades - 1st Term'!BO36+AT35</f>
        <v>24</v>
      </c>
      <c r="AW35" s="41">
        <v>50.35345296356716</v>
      </c>
      <c r="AX35" s="41">
        <f t="shared" si="0"/>
        <v>49.588832487309645</v>
      </c>
      <c r="AY35" s="41"/>
      <c r="AZ35" s="43"/>
      <c r="BA35" s="43"/>
      <c r="BB35" s="46"/>
      <c r="BC35" s="42"/>
      <c r="BD35" s="45"/>
      <c r="BE35" s="44"/>
    </row>
    <row r="36" spans="1:57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29"/>
      <c r="AH36" s="52"/>
      <c r="AI36" s="52"/>
      <c r="AJ36" s="7"/>
      <c r="AK36" s="52"/>
      <c r="AL36" s="52"/>
      <c r="AM36" s="52"/>
      <c r="AN36" s="52"/>
      <c r="AO36" s="52"/>
      <c r="AP36" s="38"/>
      <c r="AQ36" s="89">
        <f>((SUM(E36:AP36))/(AQ13-0))*100</f>
        <v>0</v>
      </c>
      <c r="AR36" s="7"/>
      <c r="AS36" s="7"/>
      <c r="AT36" s="32">
        <v>0</v>
      </c>
      <c r="AU36" s="34">
        <f>SUM(AT36:AT36)</f>
        <v>0</v>
      </c>
      <c r="AW36" s="41"/>
      <c r="AX36" s="40"/>
      <c r="AY36" s="41"/>
      <c r="AZ36" s="43"/>
      <c r="BA36" s="43"/>
      <c r="BB36" s="46"/>
      <c r="BC36" s="42"/>
      <c r="BD36" s="45"/>
      <c r="BE36" s="44"/>
    </row>
    <row r="37" spans="1:82" s="8" customFormat="1" ht="12.75" customHeight="1">
      <c r="A37" s="7"/>
      <c r="B37" s="7">
        <v>16</v>
      </c>
      <c r="C37" s="7"/>
      <c r="D37" s="7"/>
      <c r="E37" s="7"/>
      <c r="F37" s="7"/>
      <c r="G37" s="7"/>
      <c r="H37" s="7">
        <v>1</v>
      </c>
      <c r="I37" s="7">
        <v>2</v>
      </c>
      <c r="J37" s="7"/>
      <c r="K37" s="7">
        <v>1</v>
      </c>
      <c r="L37" s="7"/>
      <c r="M37" s="7"/>
      <c r="N37" s="7"/>
      <c r="O37" s="7">
        <v>1</v>
      </c>
      <c r="P37" s="7"/>
      <c r="Q37" s="7"/>
      <c r="R37" s="7"/>
      <c r="S37" s="7"/>
      <c r="T37" s="7"/>
      <c r="U37" s="7">
        <v>2</v>
      </c>
      <c r="V37" s="7"/>
      <c r="W37" s="7"/>
      <c r="X37" s="7"/>
      <c r="Y37" s="7"/>
      <c r="Z37" s="7">
        <v>1</v>
      </c>
      <c r="AA37" s="7"/>
      <c r="AB37" s="7"/>
      <c r="AC37" s="7"/>
      <c r="AD37" s="7">
        <v>2</v>
      </c>
      <c r="AE37" s="7"/>
      <c r="AF37" s="7">
        <v>2</v>
      </c>
      <c r="AG37" s="129"/>
      <c r="AH37" s="52"/>
      <c r="AI37" s="52"/>
      <c r="AJ37" s="7">
        <v>1</v>
      </c>
      <c r="AK37" s="52"/>
      <c r="AL37" s="52"/>
      <c r="AM37" s="52"/>
      <c r="AN37" s="52"/>
      <c r="AO37" s="52"/>
      <c r="AP37" s="52"/>
      <c r="AQ37" s="52"/>
      <c r="AR37" s="7"/>
      <c r="AS37" s="7"/>
      <c r="AT37" s="59" t="s">
        <v>19</v>
      </c>
      <c r="AU37" s="53">
        <f>SUM(B37:AP37)</f>
        <v>29</v>
      </c>
      <c r="AW37" s="52"/>
      <c r="AX37" s="52"/>
      <c r="AY37" s="52"/>
      <c r="AZ37" s="52"/>
      <c r="BA37" s="52"/>
      <c r="BB37" s="52"/>
      <c r="BC37" s="52"/>
      <c r="BD37" s="52"/>
      <c r="BE37" s="52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</row>
  </sheetData>
  <mergeCells count="10">
    <mergeCell ref="BD11:BD13"/>
    <mergeCell ref="BE11:BE13"/>
    <mergeCell ref="AZ11:AZ13"/>
    <mergeCell ref="BA11:BA13"/>
    <mergeCell ref="BB11:BB13"/>
    <mergeCell ref="BC11:BC13"/>
    <mergeCell ref="G1:Y1"/>
    <mergeCell ref="AW11:AW13"/>
    <mergeCell ref="AX11:AX13"/>
    <mergeCell ref="AY11:AY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47"/>
  <sheetViews>
    <sheetView workbookViewId="0" topLeftCell="B9">
      <selection activeCell="L26" sqref="L26"/>
    </sheetView>
  </sheetViews>
  <sheetFormatPr defaultColWidth="9.140625" defaultRowHeight="12.75"/>
  <cols>
    <col min="1" max="1" width="10.28125" style="3" customWidth="1"/>
    <col min="2" max="2" width="17.421875" style="3" customWidth="1"/>
    <col min="3" max="3" width="12.00390625" style="3" hidden="1" customWidth="1"/>
    <col min="4" max="4" width="2.8515625" style="3" hidden="1" customWidth="1"/>
    <col min="5" max="8" width="5.00390625" style="3" customWidth="1"/>
    <col min="9" max="9" width="10.7109375" style="28" customWidth="1"/>
    <col min="10" max="14" width="7.140625" style="28" customWidth="1"/>
    <col min="15" max="16" width="7.140625" style="3" customWidth="1"/>
    <col min="17" max="19" width="6.7109375" style="3" customWidth="1"/>
    <col min="20" max="21" width="7.140625" style="3" customWidth="1"/>
    <col min="22" max="22" width="7.421875" style="3" customWidth="1"/>
    <col min="23" max="23" width="8.8515625" style="4" customWidth="1"/>
    <col min="24" max="24" width="9.140625" style="4" hidden="1" customWidth="1"/>
    <col min="25" max="25" width="10.57421875" style="4" hidden="1" customWidth="1"/>
    <col min="26" max="26" width="9.57421875" style="4" hidden="1" customWidth="1"/>
    <col min="27" max="27" width="8.8515625" style="4" hidden="1" customWidth="1"/>
    <col min="28" max="28" width="8.140625" style="4" hidden="1" customWidth="1"/>
    <col min="29" max="29" width="7.7109375" style="4" hidden="1" customWidth="1"/>
    <col min="30" max="30" width="3.8515625" style="4" hidden="1" customWidth="1"/>
    <col min="31" max="31" width="6.7109375" style="4" hidden="1" customWidth="1"/>
    <col min="32" max="34" width="4.140625" style="33" hidden="1" customWidth="1"/>
    <col min="35" max="35" width="5.421875" style="4" hidden="1" customWidth="1"/>
    <col min="36" max="36" width="4.140625" style="4" hidden="1" customWidth="1"/>
    <col min="37" max="37" width="3.7109375" style="21" hidden="1" customWidth="1"/>
    <col min="38" max="38" width="4.57421875" style="21" hidden="1" customWidth="1"/>
    <col min="39" max="39" width="5.28125" style="21" hidden="1" customWidth="1"/>
    <col min="40" max="40" width="4.421875" style="4" hidden="1" customWidth="1"/>
    <col min="41" max="41" width="5.140625" style="3" hidden="1" customWidth="1"/>
    <col min="42" max="52" width="4.421875" style="4" hidden="1" customWidth="1"/>
    <col min="53" max="53" width="4.28125" style="4" hidden="1" customWidth="1"/>
    <col min="54" max="54" width="6.8515625" style="4" customWidth="1"/>
    <col min="55" max="56" width="4.28125" style="4" customWidth="1"/>
    <col min="57" max="61" width="6.28125" style="4" customWidth="1"/>
    <col min="62" max="62" width="7.140625" style="4" customWidth="1"/>
    <col min="63" max="74" width="6.28125" style="4" customWidth="1"/>
    <col min="75" max="75" width="8.57421875" style="4" customWidth="1"/>
    <col min="76" max="76" width="6.8515625" style="14" customWidth="1"/>
    <col min="77" max="77" width="9.7109375" style="3" customWidth="1"/>
    <col min="78" max="78" width="13.57421875" style="23" customWidth="1"/>
    <col min="79" max="79" width="6.7109375" style="30" customWidth="1"/>
    <col min="80" max="80" width="1.421875" style="0" customWidth="1"/>
    <col min="81" max="87" width="5.7109375" style="4" customWidth="1"/>
    <col min="88" max="88" width="19.140625" style="4" customWidth="1"/>
    <col min="89" max="113" width="9.140625" style="2" customWidth="1"/>
  </cols>
  <sheetData>
    <row r="1" spans="5:113" ht="12.75">
      <c r="E1" s="7"/>
      <c r="I1" s="169" t="s">
        <v>35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Z1" s="14"/>
      <c r="AA1" s="3"/>
      <c r="AB1" s="3"/>
      <c r="AC1" s="23"/>
      <c r="AD1" s="30"/>
      <c r="AE1" s="30"/>
      <c r="AF1"/>
      <c r="AG1" s="4"/>
      <c r="AH1" s="4"/>
      <c r="AK1" s="4"/>
      <c r="AL1" s="4"/>
      <c r="AM1" s="4"/>
      <c r="AO1" s="4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/>
      <c r="BF1"/>
      <c r="BG1"/>
      <c r="BH1"/>
      <c r="BI1"/>
      <c r="BJ1"/>
      <c r="BK1"/>
      <c r="BL1"/>
      <c r="BM1" s="2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1:76" ht="12.75">
      <c r="A2" s="16"/>
      <c r="B2" s="17" t="s">
        <v>1</v>
      </c>
      <c r="C2" s="4"/>
      <c r="E2" s="4"/>
      <c r="F2" s="4"/>
      <c r="G2" s="4"/>
      <c r="H2" s="4"/>
      <c r="X2" s="5" t="s">
        <v>31</v>
      </c>
      <c r="Y2" s="5"/>
      <c r="Z2" s="5"/>
      <c r="AA2" s="5"/>
      <c r="AF2" s="11"/>
      <c r="AG2" s="11"/>
      <c r="AH2" s="11"/>
      <c r="AK2" s="11"/>
      <c r="AL2" s="16"/>
      <c r="AM2" s="17" t="s">
        <v>1</v>
      </c>
      <c r="BX2" s="11"/>
    </row>
    <row r="3" spans="1:76" ht="12.75">
      <c r="A3" s="11" t="s">
        <v>13</v>
      </c>
      <c r="B3" s="17" t="s">
        <v>15</v>
      </c>
      <c r="C3" s="4"/>
      <c r="E3" s="4"/>
      <c r="F3" s="4"/>
      <c r="G3" s="4"/>
      <c r="H3" s="4"/>
      <c r="X3" s="5"/>
      <c r="Y3" s="5"/>
      <c r="Z3" s="5"/>
      <c r="AA3" s="5"/>
      <c r="AF3" s="11"/>
      <c r="AG3" s="11"/>
      <c r="AH3" s="11"/>
      <c r="AK3" s="11"/>
      <c r="AL3" s="11" t="s">
        <v>13</v>
      </c>
      <c r="AM3" s="17" t="s">
        <v>15</v>
      </c>
      <c r="BX3" s="11"/>
    </row>
    <row r="4" spans="1:76" ht="12.75">
      <c r="A4" s="26"/>
      <c r="B4" s="17" t="s">
        <v>10</v>
      </c>
      <c r="C4" s="4"/>
      <c r="E4" s="4"/>
      <c r="F4" s="4"/>
      <c r="G4" s="4"/>
      <c r="H4" s="4"/>
      <c r="X4" s="5"/>
      <c r="Y4" s="5"/>
      <c r="Z4" s="5"/>
      <c r="AA4" s="5"/>
      <c r="AF4" s="11"/>
      <c r="AG4" s="11"/>
      <c r="AH4" s="11"/>
      <c r="AK4" s="11"/>
      <c r="AL4" s="26"/>
      <c r="AM4" s="17" t="s">
        <v>10</v>
      </c>
      <c r="BX4" s="11"/>
    </row>
    <row r="5" spans="1:76" ht="12.75">
      <c r="A5" s="15"/>
      <c r="B5" s="17" t="s">
        <v>3</v>
      </c>
      <c r="C5" s="4"/>
      <c r="E5" s="4"/>
      <c r="F5" s="4"/>
      <c r="G5" s="4"/>
      <c r="H5" s="4"/>
      <c r="X5" s="5"/>
      <c r="Y5" s="5"/>
      <c r="Z5" s="5"/>
      <c r="AA5" s="5"/>
      <c r="AF5" s="11"/>
      <c r="AG5" s="11"/>
      <c r="AH5" s="11"/>
      <c r="AK5" s="14"/>
      <c r="AL5" s="15"/>
      <c r="AM5" s="17" t="s">
        <v>3</v>
      </c>
      <c r="BX5" s="11"/>
    </row>
    <row r="6" spans="1:76" ht="12.75">
      <c r="A6" s="24"/>
      <c r="B6" s="17" t="s">
        <v>9</v>
      </c>
      <c r="C6" s="4"/>
      <c r="E6" s="4"/>
      <c r="F6" s="4"/>
      <c r="G6" s="4"/>
      <c r="H6" s="4"/>
      <c r="X6" s="5"/>
      <c r="Y6" s="5"/>
      <c r="Z6" s="5"/>
      <c r="AA6" s="5"/>
      <c r="AF6" s="11"/>
      <c r="AG6" s="11"/>
      <c r="AH6" s="11"/>
      <c r="AK6" s="14"/>
      <c r="AL6" s="24"/>
      <c r="AM6" s="17" t="s">
        <v>9</v>
      </c>
      <c r="BX6" s="11"/>
    </row>
    <row r="7" spans="1:76" ht="12.75">
      <c r="A7" s="22"/>
      <c r="B7" s="17" t="s">
        <v>8</v>
      </c>
      <c r="C7" s="4"/>
      <c r="E7" s="4"/>
      <c r="F7" s="4"/>
      <c r="G7" s="4"/>
      <c r="H7" s="4"/>
      <c r="X7" s="5"/>
      <c r="Y7" s="5"/>
      <c r="Z7" s="5"/>
      <c r="AA7" s="5"/>
      <c r="AF7" s="11"/>
      <c r="AG7" s="11"/>
      <c r="AH7" s="11"/>
      <c r="AK7" s="14"/>
      <c r="AL7" s="22"/>
      <c r="AM7" s="17" t="s">
        <v>8</v>
      </c>
      <c r="BX7" s="11"/>
    </row>
    <row r="8" spans="1:76" ht="12.75">
      <c r="A8" s="18"/>
      <c r="B8" s="17" t="s">
        <v>14</v>
      </c>
      <c r="C8" s="4"/>
      <c r="E8" s="4"/>
      <c r="F8" s="4"/>
      <c r="G8" s="4"/>
      <c r="H8" s="4"/>
      <c r="X8" s="5"/>
      <c r="Y8" s="5"/>
      <c r="Z8" s="5"/>
      <c r="AA8" s="5"/>
      <c r="AF8" s="11"/>
      <c r="AG8" s="11"/>
      <c r="AH8" s="11"/>
      <c r="AK8" s="14"/>
      <c r="AL8" s="18"/>
      <c r="AM8" s="17" t="s">
        <v>14</v>
      </c>
      <c r="BX8" s="11"/>
    </row>
    <row r="9" spans="1:76" ht="12.75">
      <c r="A9" s="19"/>
      <c r="B9" s="17" t="s">
        <v>4</v>
      </c>
      <c r="C9" s="4"/>
      <c r="E9" s="4"/>
      <c r="F9" s="4"/>
      <c r="G9" s="4"/>
      <c r="H9" s="4"/>
      <c r="X9" s="5"/>
      <c r="Y9" s="5"/>
      <c r="Z9" s="5"/>
      <c r="AA9" s="5"/>
      <c r="AF9" s="11"/>
      <c r="AG9" s="11"/>
      <c r="AH9" s="11"/>
      <c r="AK9" s="14"/>
      <c r="AL9" s="19"/>
      <c r="AM9" s="17" t="s">
        <v>4</v>
      </c>
      <c r="BX9" s="11"/>
    </row>
    <row r="10" spans="1:76" ht="13.5" thickBot="1">
      <c r="A10" s="20"/>
      <c r="B10" s="17" t="s">
        <v>5</v>
      </c>
      <c r="C10" s="4"/>
      <c r="E10" s="4"/>
      <c r="F10" s="4"/>
      <c r="G10" s="4"/>
      <c r="H10" s="4"/>
      <c r="X10" s="5"/>
      <c r="Y10" s="5"/>
      <c r="Z10" s="5"/>
      <c r="AA10" s="5"/>
      <c r="AF10" s="11"/>
      <c r="AG10" s="11"/>
      <c r="AH10" s="11"/>
      <c r="AK10" s="14"/>
      <c r="AL10" s="20"/>
      <c r="AM10" s="17" t="s">
        <v>5</v>
      </c>
      <c r="BX10" s="11"/>
    </row>
    <row r="11" spans="1:113" s="140" customFormat="1" ht="72" customHeight="1" thickBot="1">
      <c r="A11" s="142"/>
      <c r="B11" s="136" t="s">
        <v>11</v>
      </c>
      <c r="C11" s="136"/>
      <c r="D11" s="136"/>
      <c r="E11" s="137" t="s">
        <v>167</v>
      </c>
      <c r="F11" s="137" t="s">
        <v>168</v>
      </c>
      <c r="G11" s="138" t="s">
        <v>179</v>
      </c>
      <c r="H11" s="137" t="s">
        <v>170</v>
      </c>
      <c r="I11" s="137" t="s">
        <v>171</v>
      </c>
      <c r="J11" s="137" t="s">
        <v>169</v>
      </c>
      <c r="K11" s="137" t="s">
        <v>173</v>
      </c>
      <c r="L11" s="138" t="s">
        <v>180</v>
      </c>
      <c r="M11" s="138" t="s">
        <v>181</v>
      </c>
      <c r="N11" s="137" t="s">
        <v>172</v>
      </c>
      <c r="O11" s="137" t="s">
        <v>174</v>
      </c>
      <c r="P11" s="137" t="s">
        <v>175</v>
      </c>
      <c r="Q11" s="137" t="s">
        <v>176</v>
      </c>
      <c r="R11" s="138" t="s">
        <v>177</v>
      </c>
      <c r="S11" s="138" t="s">
        <v>178</v>
      </c>
      <c r="T11" s="137" t="s">
        <v>182</v>
      </c>
      <c r="U11" s="137" t="s">
        <v>184</v>
      </c>
      <c r="V11" s="137" t="s">
        <v>183</v>
      </c>
      <c r="W11" s="137" t="s">
        <v>185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 t="s">
        <v>186</v>
      </c>
      <c r="BC11" s="137" t="s">
        <v>187</v>
      </c>
      <c r="BD11" s="137" t="s">
        <v>189</v>
      </c>
      <c r="BE11" s="137" t="s">
        <v>188</v>
      </c>
      <c r="BF11" s="137" t="s">
        <v>190</v>
      </c>
      <c r="BG11" s="137" t="s">
        <v>191</v>
      </c>
      <c r="BH11" s="138" t="s">
        <v>195</v>
      </c>
      <c r="BI11" s="137" t="s">
        <v>192</v>
      </c>
      <c r="BJ11" s="137" t="s">
        <v>194</v>
      </c>
      <c r="BK11" s="137" t="s">
        <v>193</v>
      </c>
      <c r="BL11" s="137" t="s">
        <v>198</v>
      </c>
      <c r="BM11" s="137" t="s">
        <v>217</v>
      </c>
      <c r="BN11" s="137" t="s">
        <v>220</v>
      </c>
      <c r="BO11" s="137" t="s">
        <v>199</v>
      </c>
      <c r="BP11" s="138" t="s">
        <v>196</v>
      </c>
      <c r="BQ11" s="138" t="s">
        <v>197</v>
      </c>
      <c r="BR11" s="137" t="s">
        <v>201</v>
      </c>
      <c r="BS11" s="137" t="s">
        <v>200</v>
      </c>
      <c r="BT11" s="137" t="s">
        <v>202</v>
      </c>
      <c r="BU11" s="137" t="s">
        <v>203</v>
      </c>
      <c r="BV11" s="137" t="s">
        <v>204</v>
      </c>
      <c r="BW11" s="139" t="s">
        <v>20</v>
      </c>
      <c r="BX11" s="143"/>
      <c r="BY11" s="142"/>
      <c r="BZ11" s="144"/>
      <c r="CA11" s="144"/>
      <c r="CB11" s="145"/>
      <c r="CC11" s="170" t="s">
        <v>21</v>
      </c>
      <c r="CD11" s="170" t="s">
        <v>22</v>
      </c>
      <c r="CE11" s="170" t="s">
        <v>23</v>
      </c>
      <c r="CF11" s="170" t="s">
        <v>24</v>
      </c>
      <c r="CG11" s="170" t="s">
        <v>25</v>
      </c>
      <c r="CH11" s="170" t="s">
        <v>29</v>
      </c>
      <c r="CI11" s="170" t="s">
        <v>27</v>
      </c>
      <c r="CJ11" s="170" t="s">
        <v>26</v>
      </c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</row>
    <row r="12" spans="1:113" s="8" customFormat="1" ht="12.75">
      <c r="A12" s="6"/>
      <c r="B12" s="29" t="s">
        <v>12</v>
      </c>
      <c r="C12" s="6"/>
      <c r="D12" s="6"/>
      <c r="E12" s="58">
        <v>39052</v>
      </c>
      <c r="F12" s="58">
        <v>39055</v>
      </c>
      <c r="G12" s="84">
        <v>39055</v>
      </c>
      <c r="H12" s="58">
        <v>39056</v>
      </c>
      <c r="I12" s="58">
        <v>39056</v>
      </c>
      <c r="J12" s="58">
        <v>39057</v>
      </c>
      <c r="K12" s="58">
        <v>39059</v>
      </c>
      <c r="L12" s="84">
        <v>39059</v>
      </c>
      <c r="M12" s="84">
        <v>39059</v>
      </c>
      <c r="N12" s="58">
        <v>39059</v>
      </c>
      <c r="O12" s="58">
        <v>39062</v>
      </c>
      <c r="P12" s="58">
        <v>39063</v>
      </c>
      <c r="Q12" s="58">
        <v>39064</v>
      </c>
      <c r="R12" s="84">
        <v>39066</v>
      </c>
      <c r="S12" s="84">
        <v>39066</v>
      </c>
      <c r="T12" s="58">
        <v>39066</v>
      </c>
      <c r="U12" s="58">
        <v>39066</v>
      </c>
      <c r="V12" s="58">
        <v>39069</v>
      </c>
      <c r="W12" s="58">
        <v>39072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>
        <v>39437</v>
      </c>
      <c r="BC12" s="58">
        <v>39085</v>
      </c>
      <c r="BD12" s="58">
        <v>39085</v>
      </c>
      <c r="BE12" s="58">
        <v>39086</v>
      </c>
      <c r="BF12" s="58">
        <v>39086</v>
      </c>
      <c r="BG12" s="58">
        <v>39087</v>
      </c>
      <c r="BH12" s="84">
        <v>39087</v>
      </c>
      <c r="BI12" s="58">
        <v>39090</v>
      </c>
      <c r="BJ12" s="58">
        <v>39090</v>
      </c>
      <c r="BK12" s="58">
        <v>39091</v>
      </c>
      <c r="BL12" s="58">
        <v>39092</v>
      </c>
      <c r="BM12" s="58">
        <v>39091</v>
      </c>
      <c r="BN12" s="58">
        <v>39098</v>
      </c>
      <c r="BO12" s="58">
        <v>39098</v>
      </c>
      <c r="BP12" s="84">
        <v>39094</v>
      </c>
      <c r="BQ12" s="84">
        <v>39094</v>
      </c>
      <c r="BR12" s="58">
        <v>39094</v>
      </c>
      <c r="BS12" s="58">
        <v>1</v>
      </c>
      <c r="BT12" s="58">
        <v>12</v>
      </c>
      <c r="BU12" s="58">
        <v>39100</v>
      </c>
      <c r="BV12" s="58">
        <v>39104</v>
      </c>
      <c r="BW12" s="36"/>
      <c r="BX12" s="5" t="s">
        <v>0</v>
      </c>
      <c r="BY12" s="6"/>
      <c r="BZ12" s="23" t="s">
        <v>16</v>
      </c>
      <c r="CA12" s="23"/>
      <c r="CC12" s="171"/>
      <c r="CD12" s="171"/>
      <c r="CE12" s="171"/>
      <c r="CF12" s="171"/>
      <c r="CG12" s="171"/>
      <c r="CH12" s="171"/>
      <c r="CI12" s="171"/>
      <c r="CJ12" s="171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</row>
    <row r="13" spans="1:113" s="8" customFormat="1" ht="12.75" customHeight="1" thickBot="1">
      <c r="A13" s="9" t="s">
        <v>2</v>
      </c>
      <c r="B13" s="9" t="s">
        <v>6</v>
      </c>
      <c r="C13" s="9" t="s">
        <v>7</v>
      </c>
      <c r="D13" s="9" t="s">
        <v>30</v>
      </c>
      <c r="E13" s="10">
        <v>50</v>
      </c>
      <c r="F13" s="10">
        <v>50</v>
      </c>
      <c r="G13" s="85">
        <v>50</v>
      </c>
      <c r="H13" s="10">
        <v>50</v>
      </c>
      <c r="I13" s="10">
        <v>150</v>
      </c>
      <c r="J13" s="10">
        <v>50</v>
      </c>
      <c r="K13" s="10">
        <v>75</v>
      </c>
      <c r="L13" s="85">
        <v>50</v>
      </c>
      <c r="M13" s="85">
        <v>50</v>
      </c>
      <c r="N13" s="10">
        <v>60</v>
      </c>
      <c r="O13" s="10">
        <v>95</v>
      </c>
      <c r="P13" s="10">
        <v>90</v>
      </c>
      <c r="Q13" s="10">
        <v>100</v>
      </c>
      <c r="R13" s="85">
        <v>50</v>
      </c>
      <c r="S13" s="85">
        <v>50</v>
      </c>
      <c r="T13" s="10">
        <v>60</v>
      </c>
      <c r="U13" s="10">
        <v>50</v>
      </c>
      <c r="V13" s="10">
        <v>150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>
        <v>100</v>
      </c>
      <c r="BC13" s="10">
        <v>35</v>
      </c>
      <c r="BD13" s="10">
        <v>30</v>
      </c>
      <c r="BE13" s="10">
        <v>100</v>
      </c>
      <c r="BF13" s="10">
        <v>25</v>
      </c>
      <c r="BG13" s="10">
        <v>25</v>
      </c>
      <c r="BH13" s="85">
        <v>100</v>
      </c>
      <c r="BI13" s="10">
        <v>25</v>
      </c>
      <c r="BJ13" s="10">
        <v>100</v>
      </c>
      <c r="BK13" s="10">
        <v>25</v>
      </c>
      <c r="BL13" s="10">
        <v>45</v>
      </c>
      <c r="BM13" s="10">
        <v>100</v>
      </c>
      <c r="BN13" s="10">
        <v>100</v>
      </c>
      <c r="BO13" s="10">
        <v>25</v>
      </c>
      <c r="BP13" s="85">
        <v>100</v>
      </c>
      <c r="BQ13" s="85">
        <v>200</v>
      </c>
      <c r="BR13" s="10">
        <v>100</v>
      </c>
      <c r="BS13" s="10">
        <v>100</v>
      </c>
      <c r="BT13" s="10">
        <v>100</v>
      </c>
      <c r="BU13" s="10">
        <v>100</v>
      </c>
      <c r="BV13" s="10">
        <v>100</v>
      </c>
      <c r="BW13" s="37"/>
      <c r="BX13" s="13">
        <f>SUM(E13:BW13)</f>
        <v>2915</v>
      </c>
      <c r="BY13" s="9" t="s">
        <v>2</v>
      </c>
      <c r="BZ13" s="31" t="s">
        <v>17</v>
      </c>
      <c r="CA13" s="31" t="s">
        <v>18</v>
      </c>
      <c r="CC13" s="171"/>
      <c r="CD13" s="171"/>
      <c r="CE13" s="171"/>
      <c r="CF13" s="171"/>
      <c r="CG13" s="171"/>
      <c r="CH13" s="171"/>
      <c r="CI13" s="171"/>
      <c r="CJ13" s="171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</row>
    <row r="14" spans="1:88" ht="15.75" customHeight="1" hidden="1" thickTop="1">
      <c r="A14" s="7">
        <v>11691</v>
      </c>
      <c r="B14" s="7" t="s">
        <v>76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38"/>
      <c r="BX14" s="27">
        <f>((SUM(E14:BW14))/(BX13-0))*100</f>
        <v>0</v>
      </c>
      <c r="BY14" s="7">
        <v>11691</v>
      </c>
      <c r="BZ14" s="32">
        <v>0</v>
      </c>
      <c r="CA14" s="111">
        <f>SUM(BZ14+'Grades - 2nd Term'!AU14)</f>
        <v>16</v>
      </c>
      <c r="CC14" s="41">
        <v>66.7060212514758</v>
      </c>
      <c r="CD14" s="41">
        <f>'Grades - 2nd Term'!AX14</f>
        <v>12.18274111675127</v>
      </c>
      <c r="CE14" s="41">
        <f>BX14</f>
        <v>0</v>
      </c>
      <c r="CF14" s="43"/>
      <c r="CG14" s="43"/>
      <c r="CH14" s="46"/>
      <c r="CI14" s="45"/>
      <c r="CJ14" s="44" t="e">
        <f>(SUM(CC14:CE14,#REF!))/4</f>
        <v>#REF!</v>
      </c>
    </row>
    <row r="15" spans="1:88" ht="15" customHeight="1" thickTop="1">
      <c r="A15" s="7" t="s">
        <v>37</v>
      </c>
      <c r="B15" s="7"/>
      <c r="C15" s="7"/>
      <c r="D15" s="7"/>
      <c r="E15" s="7">
        <v>45</v>
      </c>
      <c r="F15" s="81">
        <v>0</v>
      </c>
      <c r="G15" s="87">
        <v>26</v>
      </c>
      <c r="H15" s="7">
        <v>50</v>
      </c>
      <c r="I15" s="7">
        <f>75+40</f>
        <v>115</v>
      </c>
      <c r="J15" s="7">
        <v>42</v>
      </c>
      <c r="K15" s="7">
        <v>70</v>
      </c>
      <c r="L15" s="86">
        <v>41</v>
      </c>
      <c r="M15" s="86">
        <v>40</v>
      </c>
      <c r="N15" s="7">
        <v>40</v>
      </c>
      <c r="O15" s="81">
        <v>0</v>
      </c>
      <c r="P15" s="7">
        <v>90</v>
      </c>
      <c r="Q15" s="7">
        <v>65</v>
      </c>
      <c r="R15" s="98">
        <v>21</v>
      </c>
      <c r="S15" s="86">
        <v>49</v>
      </c>
      <c r="T15" s="7">
        <v>60</v>
      </c>
      <c r="U15" s="7">
        <v>50</v>
      </c>
      <c r="V15" s="7">
        <v>136</v>
      </c>
      <c r="W15" s="7">
        <v>10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>
        <v>100</v>
      </c>
      <c r="BC15" s="7">
        <v>19</v>
      </c>
      <c r="BD15" s="7">
        <v>15</v>
      </c>
      <c r="BE15" s="7">
        <v>77</v>
      </c>
      <c r="BF15" s="81">
        <v>0</v>
      </c>
      <c r="BG15" s="7">
        <v>21</v>
      </c>
      <c r="BH15" s="86">
        <v>90</v>
      </c>
      <c r="BI15" s="82" t="s">
        <v>77</v>
      </c>
      <c r="BJ15" s="7">
        <v>92</v>
      </c>
      <c r="BK15" s="7">
        <v>23</v>
      </c>
      <c r="BL15" s="7">
        <v>19</v>
      </c>
      <c r="BM15" s="7">
        <v>87</v>
      </c>
      <c r="BN15" s="7">
        <v>84</v>
      </c>
      <c r="BO15" s="7">
        <v>15</v>
      </c>
      <c r="BP15" s="86">
        <v>81</v>
      </c>
      <c r="BQ15" s="87">
        <v>99</v>
      </c>
      <c r="BR15" s="7">
        <v>40</v>
      </c>
      <c r="BS15" s="7">
        <v>70</v>
      </c>
      <c r="BT15" s="7">
        <v>64</v>
      </c>
      <c r="BU15" s="7">
        <v>100</v>
      </c>
      <c r="BV15" s="7">
        <v>100</v>
      </c>
      <c r="BW15" s="38"/>
      <c r="BX15" s="27">
        <f>(((SUM(E15:BW15))/(BX13-25))*100)+1</f>
        <v>75.2560553633218</v>
      </c>
      <c r="BY15" s="7" t="s">
        <v>37</v>
      </c>
      <c r="BZ15" s="32">
        <v>7</v>
      </c>
      <c r="CA15" s="110">
        <f>SUM(BZ15+'Grades - 2nd Term'!AU15)</f>
        <v>35</v>
      </c>
      <c r="CC15" s="41">
        <v>71.97309417040358</v>
      </c>
      <c r="CD15" s="41">
        <f>'Grades - 2nd Term'!AX15</f>
        <v>74.94609745579992</v>
      </c>
      <c r="CE15" s="41">
        <f aca="true" t="shared" si="0" ref="CE15:CE35">BX15</f>
        <v>75.2560553633218</v>
      </c>
      <c r="CF15" s="43">
        <v>17</v>
      </c>
      <c r="CG15" s="43">
        <v>29</v>
      </c>
      <c r="CH15" s="46">
        <v>51</v>
      </c>
      <c r="CI15" s="155" t="s">
        <v>218</v>
      </c>
      <c r="CJ15" s="44">
        <f>(SUM(CC15:CE15,CH15))/4</f>
        <v>68.29381174738133</v>
      </c>
    </row>
    <row r="16" spans="1:88" s="2" customFormat="1" ht="15" customHeight="1">
      <c r="A16" s="7" t="s">
        <v>38</v>
      </c>
      <c r="B16" s="7"/>
      <c r="C16" s="7"/>
      <c r="D16" s="7"/>
      <c r="E16" s="7">
        <v>50</v>
      </c>
      <c r="F16" s="7">
        <v>50</v>
      </c>
      <c r="G16" s="97">
        <v>40</v>
      </c>
      <c r="H16" s="7">
        <v>23</v>
      </c>
      <c r="I16" s="7">
        <f>75+0</f>
        <v>75</v>
      </c>
      <c r="J16" s="7">
        <v>44</v>
      </c>
      <c r="K16" s="7">
        <v>70</v>
      </c>
      <c r="L16" s="92">
        <v>0</v>
      </c>
      <c r="M16" s="97">
        <v>50</v>
      </c>
      <c r="N16" s="7">
        <v>42</v>
      </c>
      <c r="O16" s="7">
        <v>90</v>
      </c>
      <c r="P16" s="7">
        <v>70</v>
      </c>
      <c r="Q16" s="81">
        <v>0</v>
      </c>
      <c r="R16" s="97">
        <v>45</v>
      </c>
      <c r="S16" s="92">
        <v>0</v>
      </c>
      <c r="T16" s="7">
        <v>55</v>
      </c>
      <c r="U16" s="7">
        <v>50</v>
      </c>
      <c r="V16" s="7">
        <v>126</v>
      </c>
      <c r="W16" s="7">
        <v>10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1">
        <v>0</v>
      </c>
      <c r="BC16" s="7">
        <v>33</v>
      </c>
      <c r="BD16" s="7">
        <v>28</v>
      </c>
      <c r="BE16" s="7">
        <v>78</v>
      </c>
      <c r="BF16" s="7">
        <v>22</v>
      </c>
      <c r="BG16" s="7">
        <v>23</v>
      </c>
      <c r="BH16" s="92">
        <v>0</v>
      </c>
      <c r="BI16" s="7">
        <v>21</v>
      </c>
      <c r="BJ16" s="7">
        <v>79</v>
      </c>
      <c r="BK16" s="7">
        <v>24</v>
      </c>
      <c r="BL16" s="7">
        <v>36</v>
      </c>
      <c r="BM16" s="7">
        <v>98</v>
      </c>
      <c r="BN16" s="81">
        <v>0</v>
      </c>
      <c r="BO16" s="7">
        <v>14</v>
      </c>
      <c r="BP16" s="86">
        <v>98</v>
      </c>
      <c r="BQ16" s="97">
        <v>181</v>
      </c>
      <c r="BR16" s="81">
        <v>0</v>
      </c>
      <c r="BS16" s="7">
        <v>72</v>
      </c>
      <c r="BT16" s="7">
        <v>75</v>
      </c>
      <c r="BU16" s="7">
        <v>100</v>
      </c>
      <c r="BV16" s="7">
        <v>100</v>
      </c>
      <c r="BW16" s="38">
        <v>2</v>
      </c>
      <c r="BX16" s="27">
        <f>((SUM(E16:BW16))/(BX13-0))*100+2</f>
        <v>69.71869639794168</v>
      </c>
      <c r="BY16" s="7" t="s">
        <v>38</v>
      </c>
      <c r="BZ16" s="32">
        <v>7</v>
      </c>
      <c r="CA16" s="110">
        <f>SUM(BZ16+'Grades - 2nd Term'!AU16)</f>
        <v>29</v>
      </c>
      <c r="CC16" s="41">
        <v>60.34692767808591</v>
      </c>
      <c r="CD16" s="41">
        <f>'Grades - 2nd Term'!AX16</f>
        <v>59.76818950930627</v>
      </c>
      <c r="CE16" s="41">
        <f t="shared" si="0"/>
        <v>69.71869639794168</v>
      </c>
      <c r="CF16" s="43">
        <v>21</v>
      </c>
      <c r="CG16" s="43">
        <v>60</v>
      </c>
      <c r="CH16" s="46">
        <v>82</v>
      </c>
      <c r="CI16" s="155"/>
      <c r="CJ16" s="44">
        <f>(SUM(CC16:CE16,CH16))/4</f>
        <v>67.95845339633347</v>
      </c>
    </row>
    <row r="17" spans="1:88" s="2" customFormat="1" ht="15" customHeight="1">
      <c r="A17" s="7">
        <v>10159</v>
      </c>
      <c r="B17" s="7"/>
      <c r="C17" s="7"/>
      <c r="D17" s="7"/>
      <c r="E17" s="81">
        <v>0</v>
      </c>
      <c r="F17" s="81">
        <v>0</v>
      </c>
      <c r="G17" s="97">
        <v>20</v>
      </c>
      <c r="H17" s="7">
        <v>43</v>
      </c>
      <c r="I17" s="7">
        <f>70+0</f>
        <v>70</v>
      </c>
      <c r="J17" s="7">
        <v>34</v>
      </c>
      <c r="K17" s="81">
        <v>0</v>
      </c>
      <c r="L17" s="98">
        <v>30</v>
      </c>
      <c r="M17" s="86">
        <v>45</v>
      </c>
      <c r="N17" s="7">
        <v>28</v>
      </c>
      <c r="O17" s="81">
        <v>0</v>
      </c>
      <c r="P17" s="81">
        <v>0</v>
      </c>
      <c r="Q17" s="81">
        <v>0</v>
      </c>
      <c r="R17" s="97">
        <v>35</v>
      </c>
      <c r="S17" s="86">
        <v>48</v>
      </c>
      <c r="T17" s="81">
        <v>0</v>
      </c>
      <c r="U17" s="7">
        <v>30</v>
      </c>
      <c r="V17" s="7">
        <v>83</v>
      </c>
      <c r="W17" s="7">
        <v>10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1">
        <v>0</v>
      </c>
      <c r="BC17" s="81">
        <v>0</v>
      </c>
      <c r="BD17" s="82" t="s">
        <v>77</v>
      </c>
      <c r="BE17" s="81">
        <v>0</v>
      </c>
      <c r="BF17" s="81">
        <v>0</v>
      </c>
      <c r="BG17" s="7">
        <v>10</v>
      </c>
      <c r="BH17" s="97">
        <v>79</v>
      </c>
      <c r="BI17" s="7">
        <v>17</v>
      </c>
      <c r="BJ17" s="81">
        <v>0</v>
      </c>
      <c r="BK17" s="7">
        <v>14</v>
      </c>
      <c r="BL17" s="99" t="s">
        <v>77</v>
      </c>
      <c r="BM17" s="52">
        <v>82</v>
      </c>
      <c r="BN17" s="7">
        <v>70</v>
      </c>
      <c r="BO17" s="7">
        <v>6</v>
      </c>
      <c r="BP17" s="92">
        <v>0</v>
      </c>
      <c r="BQ17" s="92">
        <v>0</v>
      </c>
      <c r="BR17" s="81">
        <v>0</v>
      </c>
      <c r="BS17" s="81">
        <v>0</v>
      </c>
      <c r="BT17" s="81">
        <v>0</v>
      </c>
      <c r="BU17" s="7">
        <v>100</v>
      </c>
      <c r="BV17" s="7">
        <v>75</v>
      </c>
      <c r="BW17" s="38"/>
      <c r="BX17" s="89">
        <f>((SUM(E17:BW17))/(BX13-55))*100+1</f>
        <v>33.48251748251748</v>
      </c>
      <c r="BY17" s="7">
        <v>10159</v>
      </c>
      <c r="BZ17" s="32">
        <v>6</v>
      </c>
      <c r="CA17" s="110">
        <f>SUM(BZ17+'Grades - 2nd Term'!AU17)</f>
        <v>22</v>
      </c>
      <c r="CC17" s="41">
        <v>55.90984057174272</v>
      </c>
      <c r="CD17" s="41">
        <f>'Grades - 2nd Term'!AX17</f>
        <v>62.59285091543156</v>
      </c>
      <c r="CE17" s="41">
        <f t="shared" si="0"/>
        <v>33.48251748251748</v>
      </c>
      <c r="CF17" s="43">
        <v>17</v>
      </c>
      <c r="CG17" s="43">
        <v>36</v>
      </c>
      <c r="CH17" s="46">
        <v>59</v>
      </c>
      <c r="CI17" s="155"/>
      <c r="CJ17" s="44">
        <f>(SUM(CC17:CE17,CH17))/4</f>
        <v>52.74630224242294</v>
      </c>
    </row>
    <row r="18" spans="1:88" s="2" customFormat="1" ht="15" customHeight="1">
      <c r="A18" s="7" t="s">
        <v>39</v>
      </c>
      <c r="B18" s="7"/>
      <c r="C18" s="7"/>
      <c r="D18" s="7"/>
      <c r="E18" s="81">
        <v>0</v>
      </c>
      <c r="F18" s="81">
        <v>0</v>
      </c>
      <c r="G18" s="92">
        <v>0</v>
      </c>
      <c r="H18" s="81">
        <v>0</v>
      </c>
      <c r="I18" s="81">
        <f>0</f>
        <v>0</v>
      </c>
      <c r="J18" s="81">
        <v>0</v>
      </c>
      <c r="K18" s="81">
        <v>0</v>
      </c>
      <c r="L18" s="92">
        <v>0</v>
      </c>
      <c r="M18" s="92">
        <v>0</v>
      </c>
      <c r="N18" s="82" t="s">
        <v>77</v>
      </c>
      <c r="O18" s="81">
        <v>0</v>
      </c>
      <c r="P18" s="81">
        <v>0</v>
      </c>
      <c r="Q18" s="7">
        <v>100</v>
      </c>
      <c r="R18" s="92">
        <v>0</v>
      </c>
      <c r="S18" s="92">
        <v>0</v>
      </c>
      <c r="T18" s="81">
        <v>0</v>
      </c>
      <c r="U18" s="81">
        <v>0</v>
      </c>
      <c r="V18" s="7">
        <v>94</v>
      </c>
      <c r="W18" s="81">
        <v>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2" t="s">
        <v>77</v>
      </c>
      <c r="BC18" s="7">
        <v>34</v>
      </c>
      <c r="BD18" s="7">
        <v>9</v>
      </c>
      <c r="BE18" s="81">
        <v>0</v>
      </c>
      <c r="BF18" s="82" t="s">
        <v>77</v>
      </c>
      <c r="BG18" s="7">
        <v>23</v>
      </c>
      <c r="BH18" s="92">
        <v>0</v>
      </c>
      <c r="BI18" s="7">
        <v>21</v>
      </c>
      <c r="BJ18" s="7">
        <v>85</v>
      </c>
      <c r="BK18" s="7">
        <v>20</v>
      </c>
      <c r="BL18" s="99" t="s">
        <v>77</v>
      </c>
      <c r="BM18" s="100">
        <v>0</v>
      </c>
      <c r="BN18" s="81">
        <v>0</v>
      </c>
      <c r="BO18" s="81">
        <v>0</v>
      </c>
      <c r="BP18" s="92">
        <v>0</v>
      </c>
      <c r="BQ18" s="92">
        <v>0</v>
      </c>
      <c r="BR18" s="81">
        <v>0</v>
      </c>
      <c r="BS18" s="81">
        <v>0</v>
      </c>
      <c r="BT18" s="81">
        <v>0</v>
      </c>
      <c r="BU18" s="7">
        <v>100</v>
      </c>
      <c r="BV18" s="81">
        <v>0</v>
      </c>
      <c r="BW18" s="38"/>
      <c r="BX18" s="89">
        <f>((SUM(E18:BW18))/(BX13-150))*100</f>
        <v>17.576853526220614</v>
      </c>
      <c r="BY18" s="7" t="s">
        <v>39</v>
      </c>
      <c r="BZ18" s="32">
        <v>0</v>
      </c>
      <c r="CA18" s="111">
        <f>SUM(BZ18+'Grades - 2nd Term'!AU18)</f>
        <v>17</v>
      </c>
      <c r="CC18" s="41">
        <v>60.110562075355155</v>
      </c>
      <c r="CD18" s="41">
        <f>'Grades - 2nd Term'!AX18</f>
        <v>35.247234247234246</v>
      </c>
      <c r="CE18" s="41">
        <f t="shared" si="0"/>
        <v>17.576853526220614</v>
      </c>
      <c r="CF18" s="153"/>
      <c r="CG18" s="153"/>
      <c r="CH18" s="154"/>
      <c r="CI18" s="161">
        <v>0</v>
      </c>
      <c r="CJ18" s="163">
        <f>(SUM(CC18:CE18,CI18))/4</f>
        <v>28.233662462202503</v>
      </c>
    </row>
    <row r="19" spans="1:88" s="2" customFormat="1" ht="15" customHeight="1">
      <c r="A19" s="7" t="s">
        <v>40</v>
      </c>
      <c r="B19" s="7"/>
      <c r="C19" s="7"/>
      <c r="D19" s="7"/>
      <c r="E19" s="7">
        <v>50</v>
      </c>
      <c r="F19" s="7">
        <v>40</v>
      </c>
      <c r="G19" s="86">
        <v>42</v>
      </c>
      <c r="H19" s="7">
        <v>44</v>
      </c>
      <c r="I19" s="7">
        <f>70+0</f>
        <v>70</v>
      </c>
      <c r="J19" s="7">
        <v>46</v>
      </c>
      <c r="K19" s="7">
        <v>70</v>
      </c>
      <c r="L19" s="86">
        <v>43</v>
      </c>
      <c r="M19" s="86">
        <v>40</v>
      </c>
      <c r="N19" s="7">
        <v>46</v>
      </c>
      <c r="O19" s="7">
        <v>95</v>
      </c>
      <c r="P19" s="7">
        <v>90</v>
      </c>
      <c r="Q19" s="81">
        <v>0</v>
      </c>
      <c r="R19" s="86">
        <v>34</v>
      </c>
      <c r="S19" s="86">
        <v>48</v>
      </c>
      <c r="T19" s="7">
        <v>60</v>
      </c>
      <c r="U19" s="7">
        <v>50</v>
      </c>
      <c r="V19" s="7">
        <v>136</v>
      </c>
      <c r="W19" s="7">
        <v>10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1">
        <v>0</v>
      </c>
      <c r="BC19" s="7">
        <v>28</v>
      </c>
      <c r="BD19" s="7">
        <v>24</v>
      </c>
      <c r="BE19" s="7">
        <v>77</v>
      </c>
      <c r="BF19" s="7">
        <v>23</v>
      </c>
      <c r="BG19" s="7">
        <v>24</v>
      </c>
      <c r="BH19" s="86">
        <v>91</v>
      </c>
      <c r="BI19" s="7">
        <v>22</v>
      </c>
      <c r="BJ19" s="7">
        <v>91</v>
      </c>
      <c r="BK19" s="7">
        <v>21</v>
      </c>
      <c r="BL19" s="7">
        <v>29</v>
      </c>
      <c r="BM19" s="7">
        <v>90</v>
      </c>
      <c r="BN19" s="7">
        <v>84</v>
      </c>
      <c r="BO19" s="7">
        <v>22</v>
      </c>
      <c r="BP19" s="86">
        <v>83</v>
      </c>
      <c r="BQ19" s="87">
        <v>108</v>
      </c>
      <c r="BR19" s="7">
        <v>50</v>
      </c>
      <c r="BS19" s="7">
        <v>66</v>
      </c>
      <c r="BT19" s="7">
        <v>72</v>
      </c>
      <c r="BU19" s="7">
        <v>100</v>
      </c>
      <c r="BV19" s="7">
        <v>100</v>
      </c>
      <c r="BW19" s="38"/>
      <c r="BX19" s="27">
        <f>((SUM(E19:BW19))/(BX13-0))*100+4</f>
        <v>80.12349914236707</v>
      </c>
      <c r="BY19" s="7" t="s">
        <v>40</v>
      </c>
      <c r="BZ19" s="32">
        <v>9</v>
      </c>
      <c r="CA19" s="110">
        <f>SUM(BZ19+'Grades - 2nd Term'!AU19)</f>
        <v>38</v>
      </c>
      <c r="CC19" s="41">
        <v>84.95867319195214</v>
      </c>
      <c r="CD19" s="41">
        <f>'Grades - 2nd Term'!AX19</f>
        <v>91.20135363790186</v>
      </c>
      <c r="CE19" s="41">
        <f t="shared" si="0"/>
        <v>80.12349914236707</v>
      </c>
      <c r="CF19" s="43">
        <v>22</v>
      </c>
      <c r="CG19" s="43">
        <v>55</v>
      </c>
      <c r="CH19" s="46">
        <v>79</v>
      </c>
      <c r="CI19" s="155" t="s">
        <v>218</v>
      </c>
      <c r="CJ19" s="44">
        <f>(SUM(CC19:CE19,CH19))/4</f>
        <v>83.82088149305527</v>
      </c>
    </row>
    <row r="20" spans="1:88" s="2" customFormat="1" ht="15" customHeight="1">
      <c r="A20" s="7" t="s">
        <v>41</v>
      </c>
      <c r="B20" s="7"/>
      <c r="C20" s="7"/>
      <c r="D20" s="7"/>
      <c r="E20" s="81">
        <v>0</v>
      </c>
      <c r="F20" s="7">
        <v>45</v>
      </c>
      <c r="G20" s="86">
        <v>41</v>
      </c>
      <c r="H20" s="7">
        <v>35</v>
      </c>
      <c r="I20" s="7">
        <f>65+0</f>
        <v>65</v>
      </c>
      <c r="J20" s="81">
        <v>0</v>
      </c>
      <c r="K20" s="81">
        <v>0</v>
      </c>
      <c r="L20" s="86">
        <v>39</v>
      </c>
      <c r="M20" s="86">
        <v>45</v>
      </c>
      <c r="N20" s="82" t="s">
        <v>77</v>
      </c>
      <c r="O20" s="81">
        <v>0</v>
      </c>
      <c r="P20" s="7">
        <v>90</v>
      </c>
      <c r="Q20" s="7">
        <v>65</v>
      </c>
      <c r="R20" s="92">
        <v>0</v>
      </c>
      <c r="S20" s="86">
        <v>46</v>
      </c>
      <c r="T20" s="81">
        <v>0</v>
      </c>
      <c r="U20" s="7">
        <v>50</v>
      </c>
      <c r="V20" s="7">
        <v>80</v>
      </c>
      <c r="W20" s="81">
        <v>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81">
        <v>0</v>
      </c>
      <c r="BC20" s="81">
        <v>0</v>
      </c>
      <c r="BD20" s="7">
        <v>1</v>
      </c>
      <c r="BE20" s="81">
        <v>0</v>
      </c>
      <c r="BF20" s="81">
        <v>0</v>
      </c>
      <c r="BG20" s="7">
        <v>14</v>
      </c>
      <c r="BH20" s="86">
        <v>91</v>
      </c>
      <c r="BI20" s="7">
        <v>16</v>
      </c>
      <c r="BJ20" s="7">
        <v>91</v>
      </c>
      <c r="BK20" s="7">
        <v>15</v>
      </c>
      <c r="BL20" s="7">
        <v>11</v>
      </c>
      <c r="BM20" s="7">
        <v>84</v>
      </c>
      <c r="BN20" s="7">
        <v>80</v>
      </c>
      <c r="BO20" s="7">
        <v>10</v>
      </c>
      <c r="BP20" s="97">
        <v>83</v>
      </c>
      <c r="BQ20" s="87">
        <v>89</v>
      </c>
      <c r="BR20" s="7">
        <v>100</v>
      </c>
      <c r="BS20" s="81">
        <v>0</v>
      </c>
      <c r="BT20" s="81">
        <v>0</v>
      </c>
      <c r="BU20" s="82" t="s">
        <v>77</v>
      </c>
      <c r="BV20" s="82" t="s">
        <v>77</v>
      </c>
      <c r="BW20" s="38"/>
      <c r="BX20" s="89">
        <f>((SUM(E20:BW20))/(BX13-200))*100+8</f>
        <v>55.36648250460405</v>
      </c>
      <c r="BY20" s="7" t="s">
        <v>41</v>
      </c>
      <c r="BZ20" s="32">
        <v>8</v>
      </c>
      <c r="CA20" s="110">
        <f>SUM(BZ20+'Grades - 2nd Term'!AU20)</f>
        <v>33</v>
      </c>
      <c r="CC20" s="41">
        <v>64.6215334420881</v>
      </c>
      <c r="CD20" s="41">
        <f>'Grades - 2nd Term'!AX20</f>
        <v>62.069144338807256</v>
      </c>
      <c r="CE20" s="41">
        <f t="shared" si="0"/>
        <v>55.36648250460405</v>
      </c>
      <c r="CF20" s="43">
        <v>21</v>
      </c>
      <c r="CG20" s="43">
        <v>52</v>
      </c>
      <c r="CH20" s="46">
        <v>77</v>
      </c>
      <c r="CI20" s="155"/>
      <c r="CJ20" s="44">
        <f>(SUM(CC20:CE20,CH20))/4</f>
        <v>64.76429007137486</v>
      </c>
    </row>
    <row r="21" spans="1:113" s="1" customFormat="1" ht="15" customHeight="1">
      <c r="A21" s="7" t="s">
        <v>42</v>
      </c>
      <c r="B21" s="7"/>
      <c r="C21" s="7"/>
      <c r="D21" s="7"/>
      <c r="E21" s="7">
        <v>21</v>
      </c>
      <c r="F21" s="7">
        <v>20</v>
      </c>
      <c r="G21" s="97">
        <v>45</v>
      </c>
      <c r="H21" s="81">
        <v>0</v>
      </c>
      <c r="I21" s="7">
        <f>50</f>
        <v>50</v>
      </c>
      <c r="J21" s="7">
        <v>17</v>
      </c>
      <c r="K21" s="81">
        <v>0</v>
      </c>
      <c r="L21" s="98">
        <v>19</v>
      </c>
      <c r="M21" s="97">
        <v>40</v>
      </c>
      <c r="N21" s="7">
        <v>24</v>
      </c>
      <c r="O21" s="7">
        <v>40</v>
      </c>
      <c r="P21" s="7">
        <v>40</v>
      </c>
      <c r="Q21" s="7">
        <v>65</v>
      </c>
      <c r="R21" s="98">
        <v>17</v>
      </c>
      <c r="S21" s="86">
        <v>46</v>
      </c>
      <c r="T21" s="7">
        <v>60</v>
      </c>
      <c r="U21" s="7">
        <v>45</v>
      </c>
      <c r="V21" s="7">
        <v>112</v>
      </c>
      <c r="W21" s="7">
        <v>10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>
        <v>50</v>
      </c>
      <c r="BC21" s="7">
        <v>18</v>
      </c>
      <c r="BD21" s="7">
        <v>7</v>
      </c>
      <c r="BE21" s="7">
        <v>75</v>
      </c>
      <c r="BF21" s="7">
        <v>15</v>
      </c>
      <c r="BG21" s="82" t="s">
        <v>77</v>
      </c>
      <c r="BH21" s="98">
        <v>14</v>
      </c>
      <c r="BI21" s="7">
        <v>14</v>
      </c>
      <c r="BJ21" s="81">
        <v>0</v>
      </c>
      <c r="BK21" s="7">
        <v>18</v>
      </c>
      <c r="BL21" s="7">
        <v>2</v>
      </c>
      <c r="BM21" s="7">
        <v>83</v>
      </c>
      <c r="BN21" s="7">
        <v>84</v>
      </c>
      <c r="BO21" s="7">
        <v>10</v>
      </c>
      <c r="BP21" s="86">
        <v>88</v>
      </c>
      <c r="BQ21" s="98">
        <v>89</v>
      </c>
      <c r="BR21" s="7">
        <v>18</v>
      </c>
      <c r="BS21" s="7">
        <v>66</v>
      </c>
      <c r="BT21" s="7">
        <v>72</v>
      </c>
      <c r="BU21" s="7">
        <v>100</v>
      </c>
      <c r="BV21" s="7">
        <v>100</v>
      </c>
      <c r="BW21" s="38">
        <v>55</v>
      </c>
      <c r="BX21" s="89">
        <f>(((SUM(E21:BW21))/(BX13-125))*100)+4</f>
        <v>63.10394265232974</v>
      </c>
      <c r="BY21" s="7" t="s">
        <v>42</v>
      </c>
      <c r="BZ21" s="32">
        <v>5</v>
      </c>
      <c r="CA21" s="110">
        <f>SUM(BZ21+'Grades - 2nd Term'!AU21)</f>
        <v>30</v>
      </c>
      <c r="CB21" s="2"/>
      <c r="CC21" s="41">
        <v>68.35236541598695</v>
      </c>
      <c r="CD21" s="41">
        <f>'Grades - 2nd Term'!AX21</f>
        <v>62.182741116751274</v>
      </c>
      <c r="CE21" s="41">
        <f t="shared" si="0"/>
        <v>63.10394265232974</v>
      </c>
      <c r="CF21" s="43">
        <v>18</v>
      </c>
      <c r="CG21" s="43">
        <v>41</v>
      </c>
      <c r="CH21" s="46">
        <v>65</v>
      </c>
      <c r="CI21" s="155"/>
      <c r="CJ21" s="44">
        <f>(SUM(CC21:CE21,CH21))/4</f>
        <v>64.65976229626699</v>
      </c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88" s="2" customFormat="1" ht="15" customHeight="1">
      <c r="A22" s="7" t="s">
        <v>43</v>
      </c>
      <c r="B22" s="7"/>
      <c r="C22" s="7"/>
      <c r="D22" s="7"/>
      <c r="E22" s="81">
        <v>0</v>
      </c>
      <c r="F22" s="81">
        <v>0</v>
      </c>
      <c r="G22" s="92">
        <v>0</v>
      </c>
      <c r="H22" s="7">
        <v>41</v>
      </c>
      <c r="I22" s="81">
        <f>0</f>
        <v>0</v>
      </c>
      <c r="J22" s="7">
        <v>34</v>
      </c>
      <c r="K22" s="7">
        <v>21</v>
      </c>
      <c r="L22" s="86">
        <v>41</v>
      </c>
      <c r="M22" s="86">
        <v>35</v>
      </c>
      <c r="N22" s="7">
        <v>42</v>
      </c>
      <c r="O22" s="81">
        <v>0</v>
      </c>
      <c r="P22" s="81">
        <v>0</v>
      </c>
      <c r="Q22" s="81">
        <v>0</v>
      </c>
      <c r="R22" s="98">
        <v>18</v>
      </c>
      <c r="S22" s="92">
        <v>0</v>
      </c>
      <c r="T22" s="81">
        <v>0</v>
      </c>
      <c r="U22" s="7">
        <v>50</v>
      </c>
      <c r="V22" s="7">
        <v>94</v>
      </c>
      <c r="W22" s="81">
        <v>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1">
        <v>0</v>
      </c>
      <c r="BC22" s="7">
        <v>31</v>
      </c>
      <c r="BD22" s="7">
        <v>18</v>
      </c>
      <c r="BE22" s="81">
        <v>0</v>
      </c>
      <c r="BF22" s="7">
        <v>17</v>
      </c>
      <c r="BG22" s="7">
        <v>21</v>
      </c>
      <c r="BH22" s="98">
        <v>5</v>
      </c>
      <c r="BI22" s="7">
        <v>18</v>
      </c>
      <c r="BJ22" s="7">
        <v>76</v>
      </c>
      <c r="BK22" s="82" t="s">
        <v>77</v>
      </c>
      <c r="BL22" s="7">
        <v>24</v>
      </c>
      <c r="BM22" s="81">
        <v>0</v>
      </c>
      <c r="BN22" s="7">
        <v>88</v>
      </c>
      <c r="BO22" s="7">
        <v>14</v>
      </c>
      <c r="BP22" s="97">
        <v>91</v>
      </c>
      <c r="BQ22" s="92">
        <v>0</v>
      </c>
      <c r="BR22" s="7">
        <v>48</v>
      </c>
      <c r="BS22" s="7">
        <v>54</v>
      </c>
      <c r="BT22" s="7">
        <v>38</v>
      </c>
      <c r="BU22" s="7">
        <v>100</v>
      </c>
      <c r="BV22" s="7">
        <v>100</v>
      </c>
      <c r="BW22" s="38"/>
      <c r="BX22" s="89">
        <f>((SUM(E22:BW22))/(BX13-25))*100+1</f>
        <v>39.719723183391004</v>
      </c>
      <c r="BY22" s="7" t="s">
        <v>43</v>
      </c>
      <c r="BZ22" s="32">
        <v>4</v>
      </c>
      <c r="CA22" s="110">
        <f>SUM(BZ22+'Grades - 2nd Term'!AU22)</f>
        <v>29</v>
      </c>
      <c r="CC22" s="41">
        <v>59.51005981511691</v>
      </c>
      <c r="CD22" s="41">
        <f>'Grades - 2nd Term'!AX22</f>
        <v>66.98357821953329</v>
      </c>
      <c r="CE22" s="41">
        <f t="shared" si="0"/>
        <v>39.719723183391004</v>
      </c>
      <c r="CF22" s="43">
        <v>14</v>
      </c>
      <c r="CG22" s="43">
        <v>36</v>
      </c>
      <c r="CH22" s="46">
        <v>58</v>
      </c>
      <c r="CI22" s="155"/>
      <c r="CJ22" s="44">
        <f>(SUM(CC22:CE22,CH22))/4</f>
        <v>56.0533403045103</v>
      </c>
    </row>
    <row r="23" spans="1:113" s="1" customFormat="1" ht="15" customHeight="1">
      <c r="A23" s="7" t="s">
        <v>44</v>
      </c>
      <c r="B23" s="7"/>
      <c r="C23" s="7"/>
      <c r="D23" s="7"/>
      <c r="E23" s="81">
        <v>0</v>
      </c>
      <c r="F23" s="81">
        <v>0</v>
      </c>
      <c r="G23" s="92">
        <v>0</v>
      </c>
      <c r="H23" s="7">
        <v>33</v>
      </c>
      <c r="I23" s="7">
        <f>75+0</f>
        <v>75</v>
      </c>
      <c r="J23" s="81">
        <v>0</v>
      </c>
      <c r="K23" s="81">
        <v>0</v>
      </c>
      <c r="L23" s="86">
        <v>40</v>
      </c>
      <c r="M23" s="86">
        <v>33</v>
      </c>
      <c r="N23" s="7">
        <v>32</v>
      </c>
      <c r="O23" s="81">
        <v>0</v>
      </c>
      <c r="P23" s="81">
        <v>0</v>
      </c>
      <c r="Q23" s="81">
        <v>0</v>
      </c>
      <c r="R23" s="92">
        <v>0</v>
      </c>
      <c r="S23" s="92">
        <v>0</v>
      </c>
      <c r="T23" s="81">
        <v>0</v>
      </c>
      <c r="U23" s="7">
        <v>48</v>
      </c>
      <c r="V23" s="7">
        <v>110</v>
      </c>
      <c r="W23" s="82" t="s">
        <v>77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2" t="s">
        <v>77</v>
      </c>
      <c r="BC23" s="81">
        <v>0</v>
      </c>
      <c r="BD23" s="7">
        <v>13</v>
      </c>
      <c r="BE23" s="81">
        <v>0</v>
      </c>
      <c r="BF23" s="7">
        <v>8</v>
      </c>
      <c r="BG23" s="7">
        <v>5</v>
      </c>
      <c r="BH23" s="92">
        <v>0</v>
      </c>
      <c r="BI23" s="82" t="s">
        <v>77</v>
      </c>
      <c r="BJ23" s="81">
        <v>0</v>
      </c>
      <c r="BK23" s="7">
        <v>16</v>
      </c>
      <c r="BL23" s="7">
        <v>11</v>
      </c>
      <c r="BM23" s="7">
        <v>85</v>
      </c>
      <c r="BN23" s="81">
        <v>0</v>
      </c>
      <c r="BO23" s="7">
        <v>13</v>
      </c>
      <c r="BP23" s="97">
        <v>85</v>
      </c>
      <c r="BQ23" s="92">
        <v>0</v>
      </c>
      <c r="BR23" s="81">
        <v>0</v>
      </c>
      <c r="BS23" s="81">
        <v>0</v>
      </c>
      <c r="BT23" s="81">
        <v>0</v>
      </c>
      <c r="BU23" s="7">
        <v>100</v>
      </c>
      <c r="BV23" s="7">
        <v>100</v>
      </c>
      <c r="BW23" s="38"/>
      <c r="BX23" s="89">
        <f>(((SUM(E23:BW23))/(BX13-125))*100)</f>
        <v>28.9247311827957</v>
      </c>
      <c r="BY23" s="7" t="s">
        <v>44</v>
      </c>
      <c r="BZ23" s="32">
        <v>4</v>
      </c>
      <c r="CA23" s="111">
        <f>SUM(BZ23+'Grades - 2nd Term'!AU23)</f>
        <v>12</v>
      </c>
      <c r="CB23" s="2"/>
      <c r="CC23" s="41">
        <v>35.14917127071823</v>
      </c>
      <c r="CD23" s="41">
        <f>'Grades - 2nd Term'!AX23</f>
        <v>20.24703891708968</v>
      </c>
      <c r="CE23" s="41">
        <f t="shared" si="0"/>
        <v>28.9247311827957</v>
      </c>
      <c r="CF23" s="153"/>
      <c r="CG23" s="153"/>
      <c r="CH23" s="154"/>
      <c r="CI23" s="161">
        <v>33</v>
      </c>
      <c r="CJ23" s="163">
        <f>(SUM(CC23:CE23,CI23))/4</f>
        <v>29.3302353426509</v>
      </c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88" ht="15" customHeight="1">
      <c r="A24" s="7" t="s">
        <v>45</v>
      </c>
      <c r="B24" s="7"/>
      <c r="C24" s="7"/>
      <c r="D24" s="7"/>
      <c r="E24" s="7">
        <v>45</v>
      </c>
      <c r="F24" s="7">
        <v>44</v>
      </c>
      <c r="G24" s="87">
        <v>24</v>
      </c>
      <c r="H24" s="7">
        <v>48</v>
      </c>
      <c r="I24" s="7">
        <f>70+45</f>
        <v>115</v>
      </c>
      <c r="J24" s="7">
        <v>46</v>
      </c>
      <c r="K24" s="7">
        <v>60</v>
      </c>
      <c r="L24" s="86">
        <v>41</v>
      </c>
      <c r="M24" s="86">
        <v>38</v>
      </c>
      <c r="N24" s="7">
        <v>52</v>
      </c>
      <c r="O24" s="7">
        <v>95</v>
      </c>
      <c r="P24" s="7">
        <v>90</v>
      </c>
      <c r="Q24" s="7">
        <v>100</v>
      </c>
      <c r="R24" s="98">
        <v>25</v>
      </c>
      <c r="S24" s="86">
        <v>48</v>
      </c>
      <c r="T24" s="7">
        <v>60</v>
      </c>
      <c r="U24" s="7">
        <v>45</v>
      </c>
      <c r="V24" s="7">
        <v>140</v>
      </c>
      <c r="W24" s="7">
        <v>10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>
        <v>100</v>
      </c>
      <c r="BC24" s="7">
        <v>29</v>
      </c>
      <c r="BD24" s="7">
        <v>18</v>
      </c>
      <c r="BE24" s="7">
        <v>68</v>
      </c>
      <c r="BF24" s="7">
        <v>24</v>
      </c>
      <c r="BG24" s="7">
        <v>23</v>
      </c>
      <c r="BH24" s="86">
        <v>87</v>
      </c>
      <c r="BI24" s="7">
        <v>25</v>
      </c>
      <c r="BJ24" s="7">
        <v>58</v>
      </c>
      <c r="BK24" s="7">
        <v>20</v>
      </c>
      <c r="BL24" s="7">
        <v>30</v>
      </c>
      <c r="BM24" s="7">
        <v>89</v>
      </c>
      <c r="BN24" s="81">
        <v>0</v>
      </c>
      <c r="BO24" s="7">
        <v>22</v>
      </c>
      <c r="BP24" s="86">
        <v>78</v>
      </c>
      <c r="BQ24" s="98">
        <v>70</v>
      </c>
      <c r="BR24" s="81">
        <v>0</v>
      </c>
      <c r="BS24" s="7">
        <v>77</v>
      </c>
      <c r="BT24" s="7">
        <v>72</v>
      </c>
      <c r="BU24" s="82" t="s">
        <v>77</v>
      </c>
      <c r="BV24" s="82" t="s">
        <v>77</v>
      </c>
      <c r="BW24" s="38"/>
      <c r="BX24" s="27">
        <f>((SUM(E24:BW24))/(BX13-200))*100+1</f>
        <v>75.25414364640885</v>
      </c>
      <c r="BY24" s="7" t="s">
        <v>45</v>
      </c>
      <c r="BZ24" s="32">
        <v>7</v>
      </c>
      <c r="CA24" s="110">
        <f>SUM(BZ24+'Grades - 2nd Term'!AU24)</f>
        <v>36</v>
      </c>
      <c r="CB24" s="2"/>
      <c r="CC24" s="41">
        <v>89.52637302882002</v>
      </c>
      <c r="CD24" s="41">
        <f>'Grades - 2nd Term'!AX24</f>
        <v>81.0067681895093</v>
      </c>
      <c r="CE24" s="41">
        <f t="shared" si="0"/>
        <v>75.25414364640885</v>
      </c>
      <c r="CF24" s="43">
        <v>20</v>
      </c>
      <c r="CG24" s="43">
        <v>57</v>
      </c>
      <c r="CH24" s="46">
        <v>80</v>
      </c>
      <c r="CI24" s="155" t="s">
        <v>218</v>
      </c>
      <c r="CJ24" s="44">
        <f>(SUM(CC24:CE24,CH24))/4</f>
        <v>81.44682121618455</v>
      </c>
    </row>
    <row r="25" spans="1:88" ht="15" customHeight="1">
      <c r="A25" s="7">
        <v>11208</v>
      </c>
      <c r="B25" s="7"/>
      <c r="C25" s="7"/>
      <c r="D25" s="7"/>
      <c r="E25" s="81">
        <v>0</v>
      </c>
      <c r="F25" s="81">
        <v>0</v>
      </c>
      <c r="G25" s="92">
        <v>0</v>
      </c>
      <c r="H25" s="81">
        <v>0</v>
      </c>
      <c r="I25" s="81">
        <f>0</f>
        <v>0</v>
      </c>
      <c r="J25" s="81">
        <v>0</v>
      </c>
      <c r="K25" s="81">
        <v>0</v>
      </c>
      <c r="L25" s="92">
        <v>0</v>
      </c>
      <c r="M25" s="86">
        <v>45</v>
      </c>
      <c r="N25" s="7">
        <v>20</v>
      </c>
      <c r="O25" s="81">
        <v>0</v>
      </c>
      <c r="P25" s="81">
        <v>0</v>
      </c>
      <c r="Q25" s="81">
        <v>0</v>
      </c>
      <c r="R25" s="92">
        <v>0</v>
      </c>
      <c r="S25" s="92">
        <v>0</v>
      </c>
      <c r="T25" s="81">
        <v>0</v>
      </c>
      <c r="U25" s="81">
        <v>0</v>
      </c>
      <c r="V25" s="7">
        <v>116</v>
      </c>
      <c r="W25" s="81">
        <v>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1">
        <v>0</v>
      </c>
      <c r="BC25" s="81">
        <v>0</v>
      </c>
      <c r="BD25" s="81">
        <v>0</v>
      </c>
      <c r="BE25" s="81">
        <v>0</v>
      </c>
      <c r="BF25" s="81">
        <v>0</v>
      </c>
      <c r="BG25" s="82" t="s">
        <v>77</v>
      </c>
      <c r="BH25" s="92">
        <v>0</v>
      </c>
      <c r="BI25" s="82" t="s">
        <v>77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92">
        <v>0</v>
      </c>
      <c r="BQ25" s="92">
        <v>0</v>
      </c>
      <c r="BR25" s="81">
        <v>0</v>
      </c>
      <c r="BS25" s="81">
        <v>0</v>
      </c>
      <c r="BT25" s="81">
        <v>0</v>
      </c>
      <c r="BU25" s="7">
        <v>100</v>
      </c>
      <c r="BV25" s="81">
        <v>0</v>
      </c>
      <c r="BW25" s="38"/>
      <c r="BX25" s="89">
        <f>((SUM(E25:BW25))/(BX13-50))*100+1</f>
        <v>10.808027923211169</v>
      </c>
      <c r="BY25" s="7">
        <v>11208</v>
      </c>
      <c r="BZ25" s="32">
        <v>1</v>
      </c>
      <c r="CA25" s="111">
        <f>SUM(BZ25+'Grades - 2nd Term'!AU25)</f>
        <v>12</v>
      </c>
      <c r="CB25" s="2"/>
      <c r="CC25" s="41">
        <v>40.24458032240133</v>
      </c>
      <c r="CD25" s="41">
        <f>'Grades - 2nd Term'!AX25</f>
        <v>23.233256351039262</v>
      </c>
      <c r="CE25" s="41">
        <f t="shared" si="0"/>
        <v>10.808027923211169</v>
      </c>
      <c r="CF25" s="153"/>
      <c r="CG25" s="153"/>
      <c r="CH25" s="154"/>
      <c r="CI25" s="161">
        <v>0</v>
      </c>
      <c r="CJ25" s="163">
        <f>(SUM(CC25:CE25,CI25))/4</f>
        <v>18.57146614916294</v>
      </c>
    </row>
    <row r="26" spans="1:88" ht="15" customHeight="1">
      <c r="A26" s="7">
        <v>10145</v>
      </c>
      <c r="B26" s="7"/>
      <c r="C26" s="7"/>
      <c r="D26" s="7"/>
      <c r="E26" s="7">
        <v>50</v>
      </c>
      <c r="F26" s="81">
        <v>0</v>
      </c>
      <c r="G26" s="86">
        <v>50</v>
      </c>
      <c r="H26" s="7">
        <v>48</v>
      </c>
      <c r="I26" s="7">
        <f>90+0</f>
        <v>90</v>
      </c>
      <c r="J26" s="7">
        <v>39</v>
      </c>
      <c r="K26" s="7">
        <v>70</v>
      </c>
      <c r="L26" s="86">
        <v>48</v>
      </c>
      <c r="M26" s="86">
        <v>45</v>
      </c>
      <c r="N26" s="7">
        <v>48</v>
      </c>
      <c r="O26" s="7">
        <v>90</v>
      </c>
      <c r="P26" s="7">
        <v>75</v>
      </c>
      <c r="Q26" s="81">
        <v>0</v>
      </c>
      <c r="R26" s="86">
        <v>44</v>
      </c>
      <c r="S26" s="86">
        <v>49</v>
      </c>
      <c r="T26" s="81">
        <v>0</v>
      </c>
      <c r="U26" s="82" t="s">
        <v>77</v>
      </c>
      <c r="V26" s="7">
        <v>124</v>
      </c>
      <c r="W26" s="82" t="s">
        <v>77</v>
      </c>
      <c r="X26" s="82" t="s">
        <v>77</v>
      </c>
      <c r="Y26" s="82" t="s">
        <v>77</v>
      </c>
      <c r="Z26" s="82" t="s">
        <v>77</v>
      </c>
      <c r="AA26" s="82" t="s">
        <v>77</v>
      </c>
      <c r="AB26" s="82" t="s">
        <v>77</v>
      </c>
      <c r="AC26" s="82" t="s">
        <v>77</v>
      </c>
      <c r="AD26" s="82" t="s">
        <v>77</v>
      </c>
      <c r="AE26" s="82" t="s">
        <v>77</v>
      </c>
      <c r="AF26" s="82" t="s">
        <v>77</v>
      </c>
      <c r="AG26" s="82" t="s">
        <v>77</v>
      </c>
      <c r="AH26" s="82" t="s">
        <v>77</v>
      </c>
      <c r="AI26" s="82" t="s">
        <v>77</v>
      </c>
      <c r="AJ26" s="82" t="s">
        <v>77</v>
      </c>
      <c r="AK26" s="82" t="s">
        <v>77</v>
      </c>
      <c r="AL26" s="82" t="s">
        <v>77</v>
      </c>
      <c r="AM26" s="82" t="s">
        <v>77</v>
      </c>
      <c r="AN26" s="82" t="s">
        <v>77</v>
      </c>
      <c r="AO26" s="82" t="s">
        <v>77</v>
      </c>
      <c r="AP26" s="82" t="s">
        <v>77</v>
      </c>
      <c r="AQ26" s="82" t="s">
        <v>77</v>
      </c>
      <c r="AR26" s="82" t="s">
        <v>77</v>
      </c>
      <c r="AS26" s="82" t="s">
        <v>77</v>
      </c>
      <c r="AT26" s="82" t="s">
        <v>77</v>
      </c>
      <c r="AU26" s="82" t="s">
        <v>77</v>
      </c>
      <c r="AV26" s="82" t="s">
        <v>77</v>
      </c>
      <c r="AW26" s="82" t="s">
        <v>77</v>
      </c>
      <c r="AX26" s="82" t="s">
        <v>77</v>
      </c>
      <c r="AY26" s="82" t="s">
        <v>77</v>
      </c>
      <c r="AZ26" s="82" t="s">
        <v>77</v>
      </c>
      <c r="BA26" s="82" t="s">
        <v>77</v>
      </c>
      <c r="BB26" s="82" t="s">
        <v>77</v>
      </c>
      <c r="BC26" s="81">
        <v>0</v>
      </c>
      <c r="BD26" s="7">
        <v>16</v>
      </c>
      <c r="BE26" s="81">
        <v>0</v>
      </c>
      <c r="BF26" s="82" t="s">
        <v>77</v>
      </c>
      <c r="BG26" s="82" t="s">
        <v>77</v>
      </c>
      <c r="BH26" s="86">
        <v>96</v>
      </c>
      <c r="BI26" s="7">
        <v>18</v>
      </c>
      <c r="BJ26" s="81">
        <v>0</v>
      </c>
      <c r="BK26" s="7">
        <v>14</v>
      </c>
      <c r="BL26" s="7">
        <v>31</v>
      </c>
      <c r="BM26" s="7">
        <v>82</v>
      </c>
      <c r="BN26" s="7">
        <v>100</v>
      </c>
      <c r="BO26" s="7">
        <v>16</v>
      </c>
      <c r="BP26" s="92">
        <v>0</v>
      </c>
      <c r="BQ26" s="92">
        <v>0</v>
      </c>
      <c r="BR26" s="81">
        <v>78</v>
      </c>
      <c r="BS26" s="7">
        <v>80</v>
      </c>
      <c r="BT26" s="81">
        <v>0</v>
      </c>
      <c r="BU26" s="82" t="s">
        <v>77</v>
      </c>
      <c r="BV26" s="7">
        <v>100</v>
      </c>
      <c r="BW26" s="38">
        <v>50</v>
      </c>
      <c r="BX26" s="89">
        <f>((SUM(E26:BW26))/(BX13-300))*100</f>
        <v>59.31166347992352</v>
      </c>
      <c r="BY26" s="7">
        <v>10145</v>
      </c>
      <c r="BZ26" s="32">
        <v>7</v>
      </c>
      <c r="CA26" s="110">
        <f>SUM(BZ26+'Grades - 2nd Term'!AU26)</f>
        <v>34</v>
      </c>
      <c r="CC26" s="41">
        <v>85.1974921630094</v>
      </c>
      <c r="CD26" s="41">
        <f>'Grades - 2nd Term'!AX26</f>
        <v>72.41962774957699</v>
      </c>
      <c r="CE26" s="41">
        <f t="shared" si="0"/>
        <v>59.31166347992352</v>
      </c>
      <c r="CF26" s="153"/>
      <c r="CG26" s="153"/>
      <c r="CH26" s="154"/>
      <c r="CI26" s="161">
        <v>70</v>
      </c>
      <c r="CJ26" s="163">
        <f>(SUM(CC26:CE26,CI26))/4</f>
        <v>71.73219584812747</v>
      </c>
    </row>
    <row r="27" spans="1:88" ht="15" customHeight="1">
      <c r="A27" s="7" t="s">
        <v>46</v>
      </c>
      <c r="B27" s="7"/>
      <c r="C27" s="7"/>
      <c r="D27" s="7"/>
      <c r="E27" s="7">
        <v>25</v>
      </c>
      <c r="F27" s="7">
        <v>49</v>
      </c>
      <c r="G27" s="86">
        <v>40</v>
      </c>
      <c r="H27" s="7">
        <v>43</v>
      </c>
      <c r="I27" s="7">
        <f>65+50</f>
        <v>115</v>
      </c>
      <c r="J27" s="81">
        <v>0</v>
      </c>
      <c r="K27" s="7">
        <v>68</v>
      </c>
      <c r="L27" s="92">
        <v>0</v>
      </c>
      <c r="M27" s="86">
        <v>35</v>
      </c>
      <c r="N27" s="7">
        <v>28</v>
      </c>
      <c r="O27" s="7">
        <v>90</v>
      </c>
      <c r="P27" s="7">
        <v>90</v>
      </c>
      <c r="Q27" s="81">
        <v>0</v>
      </c>
      <c r="R27" s="98">
        <v>17</v>
      </c>
      <c r="S27" s="86">
        <v>48</v>
      </c>
      <c r="T27" s="81">
        <v>0</v>
      </c>
      <c r="U27" s="7">
        <v>50</v>
      </c>
      <c r="V27" s="7">
        <v>96</v>
      </c>
      <c r="W27" s="81">
        <v>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>
        <v>110</v>
      </c>
      <c r="BC27" s="7">
        <v>18</v>
      </c>
      <c r="BD27" s="7">
        <v>2</v>
      </c>
      <c r="BE27" s="7">
        <v>69</v>
      </c>
      <c r="BF27" s="7">
        <v>13</v>
      </c>
      <c r="BG27" s="7">
        <v>15</v>
      </c>
      <c r="BH27" s="86">
        <v>77</v>
      </c>
      <c r="BI27" s="7">
        <v>15</v>
      </c>
      <c r="BJ27" s="7">
        <v>59</v>
      </c>
      <c r="BK27" s="7">
        <v>14</v>
      </c>
      <c r="BL27" s="7">
        <v>9</v>
      </c>
      <c r="BM27" s="7">
        <v>82</v>
      </c>
      <c r="BN27" s="7">
        <v>70</v>
      </c>
      <c r="BO27" s="7">
        <v>10</v>
      </c>
      <c r="BP27" s="86">
        <v>78</v>
      </c>
      <c r="BQ27" s="87">
        <v>92</v>
      </c>
      <c r="BR27" s="81">
        <v>0</v>
      </c>
      <c r="BS27" s="7">
        <v>50</v>
      </c>
      <c r="BT27" s="7">
        <v>34</v>
      </c>
      <c r="BU27" s="7">
        <v>100</v>
      </c>
      <c r="BV27" s="7">
        <v>100</v>
      </c>
      <c r="BW27" s="38"/>
      <c r="BX27" s="89">
        <f>(((SUM(E27:BW27))/(BX13-0))*100)</f>
        <v>62.126929674099486</v>
      </c>
      <c r="BY27" s="7" t="s">
        <v>46</v>
      </c>
      <c r="BZ27" s="32">
        <v>7</v>
      </c>
      <c r="CA27" s="110">
        <f>SUM(BZ27+'Grades - 2nd Term'!AU27)</f>
        <v>31</v>
      </c>
      <c r="CC27" s="41">
        <v>64.70908102229473</v>
      </c>
      <c r="CD27" s="41">
        <f>'Grades - 2nd Term'!AX27</f>
        <v>73.1655290102389</v>
      </c>
      <c r="CE27" s="41">
        <f t="shared" si="0"/>
        <v>62.126929674099486</v>
      </c>
      <c r="CF27" s="43">
        <v>11</v>
      </c>
      <c r="CG27" s="43">
        <v>30</v>
      </c>
      <c r="CH27" s="46">
        <v>50</v>
      </c>
      <c r="CI27" s="155"/>
      <c r="CJ27" s="44">
        <f>(SUM(CC27:CE27,CH27))/4</f>
        <v>62.50038492665827</v>
      </c>
    </row>
    <row r="28" spans="1:88" ht="15" customHeight="1">
      <c r="A28" s="7" t="s">
        <v>47</v>
      </c>
      <c r="B28" s="7"/>
      <c r="C28" s="7"/>
      <c r="D28" s="7"/>
      <c r="E28" s="7">
        <v>40</v>
      </c>
      <c r="F28" s="7">
        <v>35</v>
      </c>
      <c r="G28" s="86">
        <v>45</v>
      </c>
      <c r="H28" s="7">
        <v>46</v>
      </c>
      <c r="I28" s="81">
        <f>0</f>
        <v>0</v>
      </c>
      <c r="J28" s="7">
        <v>42</v>
      </c>
      <c r="K28" s="7">
        <v>70</v>
      </c>
      <c r="L28" s="86">
        <v>39</v>
      </c>
      <c r="M28" s="86">
        <v>35</v>
      </c>
      <c r="N28" s="7">
        <v>32</v>
      </c>
      <c r="O28" s="7">
        <v>92</v>
      </c>
      <c r="P28" s="7">
        <v>83</v>
      </c>
      <c r="Q28" s="7">
        <v>100</v>
      </c>
      <c r="R28" s="98">
        <v>20</v>
      </c>
      <c r="S28" s="86">
        <v>47</v>
      </c>
      <c r="T28" s="7">
        <v>60</v>
      </c>
      <c r="U28" s="7">
        <v>48</v>
      </c>
      <c r="V28" s="7">
        <v>83</v>
      </c>
      <c r="W28" s="7">
        <v>10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>
        <v>100</v>
      </c>
      <c r="BC28" s="7">
        <v>23</v>
      </c>
      <c r="BD28" s="7">
        <v>9</v>
      </c>
      <c r="BE28" s="7">
        <v>79</v>
      </c>
      <c r="BF28" s="7">
        <v>15</v>
      </c>
      <c r="BG28" s="7">
        <v>19</v>
      </c>
      <c r="BH28" s="86">
        <v>70</v>
      </c>
      <c r="BI28" s="7">
        <v>15</v>
      </c>
      <c r="BJ28" s="7">
        <v>67</v>
      </c>
      <c r="BK28" s="7">
        <v>15</v>
      </c>
      <c r="BL28" s="7">
        <v>11</v>
      </c>
      <c r="BM28" s="7">
        <v>80</v>
      </c>
      <c r="BN28" s="7">
        <v>80</v>
      </c>
      <c r="BO28" s="7">
        <v>10</v>
      </c>
      <c r="BP28" s="86">
        <v>78</v>
      </c>
      <c r="BQ28" s="87">
        <v>97</v>
      </c>
      <c r="BR28" s="7">
        <v>36</v>
      </c>
      <c r="BS28" s="7">
        <v>52</v>
      </c>
      <c r="BT28" s="7">
        <v>72</v>
      </c>
      <c r="BU28" s="7">
        <v>100</v>
      </c>
      <c r="BV28" s="7">
        <v>100</v>
      </c>
      <c r="BW28" s="38"/>
      <c r="BX28" s="27">
        <f>((SUM(E28:BW28))/(BX13-150))*100+2</f>
        <v>76.32188065099457</v>
      </c>
      <c r="BY28" s="7" t="s">
        <v>47</v>
      </c>
      <c r="BZ28" s="32">
        <v>8</v>
      </c>
      <c r="CA28" s="110">
        <f>SUM(BZ28+'Grades - 2nd Term'!AU28)</f>
        <v>34</v>
      </c>
      <c r="CC28" s="41">
        <v>78.03153887982599</v>
      </c>
      <c r="CD28" s="41">
        <f>'Grades - 2nd Term'!AX28</f>
        <v>86.16751269035532</v>
      </c>
      <c r="CE28" s="41">
        <f t="shared" si="0"/>
        <v>76.32188065099457</v>
      </c>
      <c r="CF28" s="43">
        <v>19</v>
      </c>
      <c r="CG28" s="43">
        <v>42</v>
      </c>
      <c r="CH28" s="46">
        <v>67</v>
      </c>
      <c r="CI28" s="155" t="s">
        <v>218</v>
      </c>
      <c r="CJ28" s="44">
        <f>(SUM(CC28:CE28,CH28))/4</f>
        <v>76.88023305529397</v>
      </c>
    </row>
    <row r="29" spans="1:88" ht="15" customHeight="1">
      <c r="A29" s="7" t="s">
        <v>48</v>
      </c>
      <c r="B29" s="7"/>
      <c r="C29" s="7"/>
      <c r="D29" s="7"/>
      <c r="E29" s="81">
        <v>0</v>
      </c>
      <c r="F29" s="81">
        <v>0</v>
      </c>
      <c r="G29" s="97">
        <v>45</v>
      </c>
      <c r="H29" s="7">
        <v>45</v>
      </c>
      <c r="I29" s="81">
        <f>0</f>
        <v>0</v>
      </c>
      <c r="J29" s="81">
        <v>0</v>
      </c>
      <c r="K29" s="81">
        <v>0</v>
      </c>
      <c r="L29" s="86">
        <v>36</v>
      </c>
      <c r="M29" s="87">
        <v>31</v>
      </c>
      <c r="N29" s="7">
        <v>40</v>
      </c>
      <c r="O29" s="81">
        <v>0</v>
      </c>
      <c r="P29" s="81">
        <v>0</v>
      </c>
      <c r="Q29" s="81">
        <v>0</v>
      </c>
      <c r="R29" s="97">
        <v>46</v>
      </c>
      <c r="S29" s="92">
        <v>0</v>
      </c>
      <c r="T29" s="81">
        <v>0</v>
      </c>
      <c r="U29" s="81">
        <v>0</v>
      </c>
      <c r="V29" s="7">
        <v>110</v>
      </c>
      <c r="W29" s="81">
        <v>0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81">
        <v>0</v>
      </c>
      <c r="BC29" s="81">
        <v>0</v>
      </c>
      <c r="BD29" s="7">
        <v>12</v>
      </c>
      <c r="BE29" s="81">
        <v>0</v>
      </c>
      <c r="BF29" s="7">
        <v>16</v>
      </c>
      <c r="BG29" s="7">
        <v>13</v>
      </c>
      <c r="BH29" s="86">
        <v>88</v>
      </c>
      <c r="BI29" s="7">
        <v>13</v>
      </c>
      <c r="BJ29" s="81">
        <v>0</v>
      </c>
      <c r="BK29" s="7">
        <v>16</v>
      </c>
      <c r="BL29" s="7">
        <v>17</v>
      </c>
      <c r="BM29" s="7">
        <v>96</v>
      </c>
      <c r="BN29" s="81">
        <v>0</v>
      </c>
      <c r="BO29" s="7">
        <v>14</v>
      </c>
      <c r="BP29" s="86">
        <v>100</v>
      </c>
      <c r="BQ29" s="92">
        <v>0</v>
      </c>
      <c r="BR29" s="81">
        <v>0</v>
      </c>
      <c r="BS29" s="81">
        <v>0</v>
      </c>
      <c r="BT29" s="81">
        <v>0</v>
      </c>
      <c r="BU29" s="7">
        <v>100</v>
      </c>
      <c r="BV29" s="7">
        <v>100</v>
      </c>
      <c r="BW29" s="38"/>
      <c r="BX29" s="89">
        <f>((SUM(E29:BW29))/(BX13-0))*100</f>
        <v>32.17838765008577</v>
      </c>
      <c r="BY29" s="7" t="s">
        <v>48</v>
      </c>
      <c r="BZ29" s="32">
        <v>7</v>
      </c>
      <c r="CA29" s="110">
        <f>SUM(BZ29+'Grades - 2nd Term'!AU29)</f>
        <v>25</v>
      </c>
      <c r="CC29" s="41">
        <v>50.02718868950517</v>
      </c>
      <c r="CD29" s="41">
        <f>'Grades - 2nd Term'!AX29</f>
        <v>30.424585876198776</v>
      </c>
      <c r="CE29" s="41">
        <f t="shared" si="0"/>
        <v>32.17838765008577</v>
      </c>
      <c r="CF29" s="43">
        <v>14</v>
      </c>
      <c r="CG29" s="43">
        <v>42</v>
      </c>
      <c r="CH29" s="46">
        <v>65</v>
      </c>
      <c r="CI29" s="155"/>
      <c r="CJ29" s="44">
        <f>(SUM(CC29:CE29,CH29))/4</f>
        <v>44.40754055394743</v>
      </c>
    </row>
    <row r="30" spans="1:88" ht="15" customHeight="1">
      <c r="A30" s="7">
        <v>10483</v>
      </c>
      <c r="B30" s="7"/>
      <c r="C30" s="7"/>
      <c r="D30" s="7"/>
      <c r="E30" s="7">
        <v>40</v>
      </c>
      <c r="F30" s="7">
        <v>48</v>
      </c>
      <c r="G30" s="92">
        <v>0</v>
      </c>
      <c r="H30" s="81">
        <v>0</v>
      </c>
      <c r="I30" s="81">
        <f>0</f>
        <v>0</v>
      </c>
      <c r="J30" s="81">
        <v>0</v>
      </c>
      <c r="K30" s="81">
        <v>0</v>
      </c>
      <c r="L30" s="92">
        <v>0</v>
      </c>
      <c r="M30" s="86">
        <v>45</v>
      </c>
      <c r="N30" s="7">
        <v>28</v>
      </c>
      <c r="O30" s="81">
        <v>0</v>
      </c>
      <c r="P30" s="81">
        <v>0</v>
      </c>
      <c r="Q30" s="81">
        <v>0</v>
      </c>
      <c r="R30" s="92">
        <v>0</v>
      </c>
      <c r="S30" s="86">
        <v>48</v>
      </c>
      <c r="T30" s="7">
        <v>60</v>
      </c>
      <c r="U30" s="7">
        <v>50</v>
      </c>
      <c r="V30" s="7">
        <v>67</v>
      </c>
      <c r="W30" s="82" t="s">
        <v>77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2" t="s">
        <v>77</v>
      </c>
      <c r="BC30" s="7">
        <v>15</v>
      </c>
      <c r="BD30" s="7">
        <v>11</v>
      </c>
      <c r="BE30" s="81">
        <v>0</v>
      </c>
      <c r="BF30" s="7">
        <v>17</v>
      </c>
      <c r="BG30" s="7">
        <v>15</v>
      </c>
      <c r="BH30" s="92">
        <v>0</v>
      </c>
      <c r="BI30" s="7">
        <v>16</v>
      </c>
      <c r="BJ30" s="7">
        <v>82</v>
      </c>
      <c r="BK30" s="7">
        <v>16</v>
      </c>
      <c r="BL30" s="99" t="s">
        <v>77</v>
      </c>
      <c r="BM30" s="100">
        <v>0</v>
      </c>
      <c r="BN30" s="7">
        <v>80</v>
      </c>
      <c r="BO30" s="7">
        <v>9</v>
      </c>
      <c r="BP30" s="86">
        <v>78</v>
      </c>
      <c r="BQ30" s="87">
        <v>92</v>
      </c>
      <c r="BR30" s="81">
        <v>0</v>
      </c>
      <c r="BS30" s="81">
        <v>0</v>
      </c>
      <c r="BT30" s="81">
        <v>0</v>
      </c>
      <c r="BU30" s="7">
        <v>100</v>
      </c>
      <c r="BV30" s="7">
        <v>100</v>
      </c>
      <c r="BW30" s="38">
        <v>50</v>
      </c>
      <c r="BX30" s="89">
        <f>((SUM(E30:BW30))/(BX13-125))*100</f>
        <v>38.24372759856631</v>
      </c>
      <c r="BY30" s="7">
        <v>10483</v>
      </c>
      <c r="BZ30" s="32">
        <v>4</v>
      </c>
      <c r="CA30" s="110">
        <f>SUM(BZ30+'Grades - 2nd Term'!AU30)</f>
        <v>26</v>
      </c>
      <c r="CC30" s="41">
        <v>65.61056105610561</v>
      </c>
      <c r="CD30" s="41">
        <f>'Grades - 2nd Term'!AX30</f>
        <v>54.8003613369467</v>
      </c>
      <c r="CE30" s="41">
        <f t="shared" si="0"/>
        <v>38.24372759856631</v>
      </c>
      <c r="CF30" s="43">
        <v>0</v>
      </c>
      <c r="CG30" s="43">
        <v>0</v>
      </c>
      <c r="CH30" s="46">
        <v>0</v>
      </c>
      <c r="CI30" s="155"/>
      <c r="CJ30" s="44">
        <f>(SUM(CC30:CE30,CH30))/4</f>
        <v>39.66366249790465</v>
      </c>
    </row>
    <row r="31" spans="1:88" ht="15" customHeight="1">
      <c r="A31" s="7">
        <v>10567</v>
      </c>
      <c r="B31" s="7"/>
      <c r="C31" s="7"/>
      <c r="D31" s="7"/>
      <c r="E31" s="81">
        <v>0</v>
      </c>
      <c r="F31" s="81">
        <v>0</v>
      </c>
      <c r="G31" s="92">
        <v>0</v>
      </c>
      <c r="H31" s="7">
        <v>1</v>
      </c>
      <c r="I31" s="7">
        <f>65+0</f>
        <v>65</v>
      </c>
      <c r="J31" s="81">
        <v>0</v>
      </c>
      <c r="K31" s="81">
        <v>0</v>
      </c>
      <c r="L31" s="86">
        <v>41</v>
      </c>
      <c r="M31" s="92">
        <v>0</v>
      </c>
      <c r="N31" s="82" t="s">
        <v>77</v>
      </c>
      <c r="O31" s="81">
        <v>0</v>
      </c>
      <c r="P31" s="81">
        <v>0</v>
      </c>
      <c r="Q31" s="81">
        <v>0</v>
      </c>
      <c r="R31" s="92">
        <v>0</v>
      </c>
      <c r="S31" s="92">
        <v>0</v>
      </c>
      <c r="T31" s="7">
        <v>60</v>
      </c>
      <c r="U31" s="7">
        <v>48</v>
      </c>
      <c r="V31" s="7">
        <v>112</v>
      </c>
      <c r="W31" s="81">
        <v>0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82" t="s">
        <v>77</v>
      </c>
      <c r="BC31" s="81">
        <v>0</v>
      </c>
      <c r="BD31" s="7">
        <v>16</v>
      </c>
      <c r="BE31" s="7">
        <v>67</v>
      </c>
      <c r="BF31" s="7">
        <v>15</v>
      </c>
      <c r="BG31" s="82" t="s">
        <v>77</v>
      </c>
      <c r="BH31" s="92">
        <v>0</v>
      </c>
      <c r="BI31" s="7">
        <v>18</v>
      </c>
      <c r="BJ31" s="7">
        <v>64</v>
      </c>
      <c r="BK31" s="7">
        <v>16</v>
      </c>
      <c r="BL31" s="7">
        <v>18</v>
      </c>
      <c r="BM31" s="7">
        <v>81</v>
      </c>
      <c r="BN31" s="81">
        <v>0</v>
      </c>
      <c r="BO31" s="7">
        <v>13</v>
      </c>
      <c r="BP31" s="87">
        <v>56</v>
      </c>
      <c r="BQ31" s="92">
        <v>0</v>
      </c>
      <c r="BR31" s="81">
        <v>0</v>
      </c>
      <c r="BS31" s="81">
        <v>0</v>
      </c>
      <c r="BT31" s="81">
        <v>0</v>
      </c>
      <c r="BU31" s="7">
        <v>100</v>
      </c>
      <c r="BV31" s="82" t="s">
        <v>77</v>
      </c>
      <c r="BW31" s="38"/>
      <c r="BX31" s="89">
        <f>((SUM(E31:BW31))/(BX13-225))*100+1</f>
        <v>30.405204460966544</v>
      </c>
      <c r="BY31" s="7">
        <v>10567</v>
      </c>
      <c r="BZ31" s="32">
        <v>1</v>
      </c>
      <c r="CA31" s="110">
        <f>SUM(BZ31+'Grades - 2nd Term'!AU31)</f>
        <v>27</v>
      </c>
      <c r="CC31" s="41">
        <v>56.98749320282762</v>
      </c>
      <c r="CD31" s="41">
        <f>'Grades - 2nd Term'!AX31</f>
        <v>44.5980985306828</v>
      </c>
      <c r="CE31" s="41">
        <f t="shared" si="0"/>
        <v>30.405204460966544</v>
      </c>
      <c r="CF31" s="43">
        <v>17</v>
      </c>
      <c r="CG31" s="43">
        <v>23</v>
      </c>
      <c r="CH31" s="46">
        <v>45</v>
      </c>
      <c r="CI31" s="155"/>
      <c r="CJ31" s="44">
        <f>(SUM(CC31:CE31,CH31))/4</f>
        <v>44.24769904861924</v>
      </c>
    </row>
    <row r="32" spans="1:88" ht="15" customHeight="1">
      <c r="A32" s="7" t="s">
        <v>49</v>
      </c>
      <c r="B32" s="7"/>
      <c r="C32" s="7"/>
      <c r="D32" s="7"/>
      <c r="E32" s="81">
        <v>0</v>
      </c>
      <c r="F32" s="81">
        <v>0</v>
      </c>
      <c r="G32" s="92">
        <v>0</v>
      </c>
      <c r="H32" s="7">
        <v>44</v>
      </c>
      <c r="I32" s="81">
        <f>0</f>
        <v>0</v>
      </c>
      <c r="J32" s="81">
        <v>0</v>
      </c>
      <c r="K32" s="81">
        <v>0</v>
      </c>
      <c r="L32" s="92">
        <v>0</v>
      </c>
      <c r="M32" s="92">
        <v>0</v>
      </c>
      <c r="N32" s="7">
        <v>24</v>
      </c>
      <c r="O32" s="81">
        <v>0</v>
      </c>
      <c r="P32" s="81">
        <v>0</v>
      </c>
      <c r="Q32" s="81">
        <v>0</v>
      </c>
      <c r="R32" s="92">
        <v>0</v>
      </c>
      <c r="S32" s="92">
        <v>0</v>
      </c>
      <c r="T32" s="81">
        <v>0</v>
      </c>
      <c r="U32" s="7">
        <v>30</v>
      </c>
      <c r="V32" s="7">
        <v>80</v>
      </c>
      <c r="W32" s="81">
        <v>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81">
        <v>0</v>
      </c>
      <c r="BC32" s="81">
        <v>0</v>
      </c>
      <c r="BD32" s="81">
        <v>0</v>
      </c>
      <c r="BE32" s="81">
        <v>0</v>
      </c>
      <c r="BF32" s="81">
        <v>0</v>
      </c>
      <c r="BG32" s="7">
        <v>15</v>
      </c>
      <c r="BH32" s="92">
        <v>0</v>
      </c>
      <c r="BI32" s="7">
        <v>13</v>
      </c>
      <c r="BJ32" s="81">
        <v>0</v>
      </c>
      <c r="BK32" s="82" t="s">
        <v>77</v>
      </c>
      <c r="BL32" s="81">
        <v>0</v>
      </c>
      <c r="BM32" s="81">
        <v>0</v>
      </c>
      <c r="BN32" s="81">
        <v>0</v>
      </c>
      <c r="BO32" s="81">
        <v>0</v>
      </c>
      <c r="BP32" s="92">
        <v>0</v>
      </c>
      <c r="BQ32" s="92">
        <v>0</v>
      </c>
      <c r="BR32" s="81">
        <v>0</v>
      </c>
      <c r="BS32" s="81">
        <v>0</v>
      </c>
      <c r="BT32" s="81">
        <v>0</v>
      </c>
      <c r="BU32" s="7">
        <v>100</v>
      </c>
      <c r="BV32" s="81">
        <v>0</v>
      </c>
      <c r="BW32" s="38"/>
      <c r="BX32" s="89">
        <f>((SUM(E32:BW32))/(BX13-25))*100</f>
        <v>10.588235294117647</v>
      </c>
      <c r="BY32" s="7" t="s">
        <v>49</v>
      </c>
      <c r="BZ32" s="32">
        <v>0</v>
      </c>
      <c r="CA32" s="111">
        <f>SUM(BZ32+'Grades - 2nd Term'!AU32)</f>
        <v>13</v>
      </c>
      <c r="CC32" s="41">
        <v>50.20285871357889</v>
      </c>
      <c r="CD32" s="41">
        <f>'Grades - 2nd Term'!AX32</f>
        <v>16.085440278988667</v>
      </c>
      <c r="CE32" s="41">
        <f t="shared" si="0"/>
        <v>10.588235294117647</v>
      </c>
      <c r="CF32" s="153"/>
      <c r="CG32" s="153"/>
      <c r="CH32" s="154"/>
      <c r="CI32" s="161">
        <v>0</v>
      </c>
      <c r="CJ32" s="163">
        <f>(SUM(CC32:CE32,CI32))/4</f>
        <v>19.219133571671303</v>
      </c>
    </row>
    <row r="33" spans="1:88" ht="15" customHeight="1">
      <c r="A33" s="7" t="s">
        <v>50</v>
      </c>
      <c r="B33" s="7"/>
      <c r="C33" s="7"/>
      <c r="D33" s="7"/>
      <c r="E33" s="81">
        <v>0</v>
      </c>
      <c r="F33" s="81">
        <v>0</v>
      </c>
      <c r="G33" s="92">
        <v>0</v>
      </c>
      <c r="H33" s="7">
        <v>46</v>
      </c>
      <c r="I33" s="81">
        <f>0</f>
        <v>0</v>
      </c>
      <c r="J33" s="81">
        <v>0</v>
      </c>
      <c r="K33" s="81">
        <v>0</v>
      </c>
      <c r="L33" s="92">
        <v>0</v>
      </c>
      <c r="M33" s="92">
        <v>0</v>
      </c>
      <c r="N33" s="7">
        <v>30</v>
      </c>
      <c r="O33" s="81">
        <v>0</v>
      </c>
      <c r="P33" s="81">
        <v>0</v>
      </c>
      <c r="Q33" s="81">
        <v>0</v>
      </c>
      <c r="R33" s="92">
        <v>0</v>
      </c>
      <c r="S33" s="92">
        <v>0</v>
      </c>
      <c r="T33" s="81">
        <v>0</v>
      </c>
      <c r="U33" s="7">
        <v>50</v>
      </c>
      <c r="V33" s="7">
        <v>66</v>
      </c>
      <c r="W33" s="81">
        <v>0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81">
        <v>0</v>
      </c>
      <c r="BC33" s="81">
        <v>0</v>
      </c>
      <c r="BD33" s="81">
        <v>0</v>
      </c>
      <c r="BE33" s="81">
        <v>0</v>
      </c>
      <c r="BF33" s="81">
        <v>0</v>
      </c>
      <c r="BG33" s="82" t="s">
        <v>77</v>
      </c>
      <c r="BH33" s="92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82" t="s">
        <v>77</v>
      </c>
      <c r="BP33" s="92">
        <v>0</v>
      </c>
      <c r="BQ33" s="92">
        <v>0</v>
      </c>
      <c r="BR33" s="81">
        <v>0</v>
      </c>
      <c r="BS33" s="81">
        <v>0</v>
      </c>
      <c r="BT33" s="81">
        <v>0</v>
      </c>
      <c r="BU33" s="7">
        <v>100</v>
      </c>
      <c r="BV33" s="81">
        <v>0</v>
      </c>
      <c r="BW33" s="38"/>
      <c r="BX33" s="89">
        <f>((SUM(E33:BW33))/(BX13-50))*100</f>
        <v>10.191972076788831</v>
      </c>
      <c r="BY33" s="7" t="s">
        <v>50</v>
      </c>
      <c r="BZ33" s="32">
        <v>0</v>
      </c>
      <c r="CA33" s="111">
        <f>SUM(BZ33+'Grades - 2nd Term'!AU33)</f>
        <v>6</v>
      </c>
      <c r="CC33" s="41">
        <v>23.779637377963738</v>
      </c>
      <c r="CD33" s="41">
        <f>'Grades - 2nd Term'!AX33</f>
        <v>10.267857142857142</v>
      </c>
      <c r="CE33" s="41">
        <f t="shared" si="0"/>
        <v>10.191972076788831</v>
      </c>
      <c r="CF33" s="153"/>
      <c r="CG33" s="153"/>
      <c r="CH33" s="154"/>
      <c r="CI33" s="161">
        <v>0</v>
      </c>
      <c r="CJ33" s="163">
        <f>(SUM(CC33:CE33,CI33))/4</f>
        <v>11.059866649402426</v>
      </c>
    </row>
    <row r="34" spans="1:88" ht="15" customHeight="1">
      <c r="A34" s="7" t="s">
        <v>51</v>
      </c>
      <c r="B34" s="7"/>
      <c r="C34" s="7"/>
      <c r="D34" s="7"/>
      <c r="E34" s="81">
        <v>0</v>
      </c>
      <c r="F34" s="81">
        <v>0</v>
      </c>
      <c r="G34" s="92">
        <v>0</v>
      </c>
      <c r="H34" s="7">
        <v>43</v>
      </c>
      <c r="I34" s="7">
        <f>85+0</f>
        <v>85</v>
      </c>
      <c r="J34" s="81">
        <v>0</v>
      </c>
      <c r="K34" s="81">
        <v>0</v>
      </c>
      <c r="L34" s="86">
        <v>44</v>
      </c>
      <c r="M34" s="86">
        <v>40</v>
      </c>
      <c r="N34" s="7">
        <v>36</v>
      </c>
      <c r="O34" s="81">
        <v>0</v>
      </c>
      <c r="P34" s="81">
        <v>0</v>
      </c>
      <c r="Q34" s="81">
        <v>0</v>
      </c>
      <c r="R34" s="97">
        <v>15</v>
      </c>
      <c r="S34" s="92">
        <v>0</v>
      </c>
      <c r="T34" s="81">
        <v>0</v>
      </c>
      <c r="U34" s="81">
        <v>0</v>
      </c>
      <c r="V34" s="7">
        <v>44</v>
      </c>
      <c r="W34" s="81">
        <v>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2" t="s">
        <v>77</v>
      </c>
      <c r="BC34" s="81">
        <v>0</v>
      </c>
      <c r="BD34" s="82" t="s">
        <v>77</v>
      </c>
      <c r="BE34" s="81">
        <v>0</v>
      </c>
      <c r="BF34" s="82" t="s">
        <v>77</v>
      </c>
      <c r="BG34" s="82" t="s">
        <v>77</v>
      </c>
      <c r="BH34" s="92">
        <v>0</v>
      </c>
      <c r="BI34" s="7">
        <v>5</v>
      </c>
      <c r="BJ34" s="81">
        <v>0</v>
      </c>
      <c r="BK34" s="81">
        <v>0</v>
      </c>
      <c r="BL34" s="81">
        <v>0</v>
      </c>
      <c r="BM34" s="81">
        <v>0</v>
      </c>
      <c r="BN34" s="81">
        <v>0</v>
      </c>
      <c r="BO34" s="81">
        <v>0</v>
      </c>
      <c r="BP34" s="92">
        <v>0</v>
      </c>
      <c r="BQ34" s="92">
        <v>0</v>
      </c>
      <c r="BR34" s="81">
        <v>0</v>
      </c>
      <c r="BS34" s="81">
        <v>0</v>
      </c>
      <c r="BT34" s="81">
        <v>0</v>
      </c>
      <c r="BU34" s="7">
        <v>100</v>
      </c>
      <c r="BV34" s="81">
        <v>0</v>
      </c>
      <c r="BW34" s="38"/>
      <c r="BX34" s="89">
        <f>((SUM(E34:BW34))/(BX13-180))*100</f>
        <v>15.06398537477148</v>
      </c>
      <c r="BY34" s="7" t="s">
        <v>51</v>
      </c>
      <c r="BZ34" s="32">
        <v>3</v>
      </c>
      <c r="CA34" s="110">
        <f>SUM(BZ34+'Grades - 2nd Term'!AU34)</f>
        <v>21</v>
      </c>
      <c r="CC34" s="41">
        <v>49.43946188340807</v>
      </c>
      <c r="CD34" s="41">
        <f>'Grades - 2nd Term'!AX34</f>
        <v>32.32497839239412</v>
      </c>
      <c r="CE34" s="41">
        <f t="shared" si="0"/>
        <v>15.06398537477148</v>
      </c>
      <c r="CF34" s="43">
        <v>19</v>
      </c>
      <c r="CG34" s="43">
        <v>28</v>
      </c>
      <c r="CH34" s="46">
        <v>51</v>
      </c>
      <c r="CI34" s="155"/>
      <c r="CJ34" s="44">
        <f>(SUM(CC34:CE34,CH34))/4</f>
        <v>36.95710641264342</v>
      </c>
    </row>
    <row r="35" spans="1:88" ht="15" customHeight="1">
      <c r="A35" s="7">
        <v>11664</v>
      </c>
      <c r="B35" s="7"/>
      <c r="C35" s="7"/>
      <c r="D35" s="7"/>
      <c r="E35" s="81">
        <v>0</v>
      </c>
      <c r="F35" s="81">
        <v>0</v>
      </c>
      <c r="G35" s="86">
        <v>48</v>
      </c>
      <c r="H35" s="7">
        <v>48</v>
      </c>
      <c r="I35" s="7">
        <f>65+50</f>
        <v>115</v>
      </c>
      <c r="J35" s="81">
        <v>0</v>
      </c>
      <c r="K35" s="81">
        <v>0</v>
      </c>
      <c r="L35" s="86">
        <v>41</v>
      </c>
      <c r="M35" s="86">
        <v>45</v>
      </c>
      <c r="N35" s="7">
        <v>50</v>
      </c>
      <c r="O35" s="81">
        <v>0</v>
      </c>
      <c r="P35" s="81">
        <v>0</v>
      </c>
      <c r="Q35" s="7">
        <v>100</v>
      </c>
      <c r="R35" s="86">
        <v>50</v>
      </c>
      <c r="S35" s="92">
        <v>0</v>
      </c>
      <c r="T35" s="81">
        <v>0</v>
      </c>
      <c r="U35" s="7">
        <v>42</v>
      </c>
      <c r="V35" s="7">
        <v>95</v>
      </c>
      <c r="W35" s="81">
        <v>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81">
        <v>0</v>
      </c>
      <c r="BC35" s="81">
        <v>0</v>
      </c>
      <c r="BD35" s="7">
        <v>16</v>
      </c>
      <c r="BE35" s="81">
        <v>0</v>
      </c>
      <c r="BF35" s="7">
        <v>21</v>
      </c>
      <c r="BG35" s="7">
        <v>21</v>
      </c>
      <c r="BH35" s="92">
        <v>0</v>
      </c>
      <c r="BI35" s="7">
        <v>22</v>
      </c>
      <c r="BJ35" s="81">
        <v>0</v>
      </c>
      <c r="BK35" s="7">
        <v>20</v>
      </c>
      <c r="BL35" s="7">
        <v>8</v>
      </c>
      <c r="BM35" s="81">
        <v>0</v>
      </c>
      <c r="BN35" s="81">
        <v>0</v>
      </c>
      <c r="BO35" s="81">
        <v>0</v>
      </c>
      <c r="BP35" s="92">
        <v>0</v>
      </c>
      <c r="BQ35" s="92">
        <v>0</v>
      </c>
      <c r="BR35" s="81">
        <v>0</v>
      </c>
      <c r="BS35" s="81">
        <v>0</v>
      </c>
      <c r="BT35" s="81">
        <v>0</v>
      </c>
      <c r="BU35" s="7">
        <v>100</v>
      </c>
      <c r="BV35" s="81">
        <v>0</v>
      </c>
      <c r="BW35" s="38"/>
      <c r="BX35" s="89">
        <f>((SUM(E35:BW35))/(BX13-0))*100+1</f>
        <v>29.885077186963983</v>
      </c>
      <c r="BY35" s="7">
        <v>11664</v>
      </c>
      <c r="BZ35" s="32">
        <v>4</v>
      </c>
      <c r="CA35" s="110">
        <f>SUM(BZ35+'Grades - 2nd Term'!AU35)</f>
        <v>28</v>
      </c>
      <c r="CC35" s="41">
        <v>50.35345296356716</v>
      </c>
      <c r="CD35" s="41">
        <f>'Grades - 2nd Term'!AX35</f>
        <v>49.588832487309645</v>
      </c>
      <c r="CE35" s="41">
        <f t="shared" si="0"/>
        <v>29.885077186963983</v>
      </c>
      <c r="CF35" s="43">
        <v>20</v>
      </c>
      <c r="CG35" s="43">
        <v>47</v>
      </c>
      <c r="CH35" s="46">
        <v>71</v>
      </c>
      <c r="CI35" s="155"/>
      <c r="CJ35" s="44">
        <f>(SUM(CC35:CE35,CH35))/4</f>
        <v>50.2068406594602</v>
      </c>
    </row>
    <row r="36" spans="1:113" s="8" customFormat="1" ht="12.75" customHeight="1">
      <c r="A36" s="7"/>
      <c r="B36" s="7"/>
      <c r="C36" s="7"/>
      <c r="D36" s="7"/>
      <c r="E36" s="7">
        <v>29</v>
      </c>
      <c r="F36" s="7"/>
      <c r="G36" s="7">
        <v>1</v>
      </c>
      <c r="H36" s="7"/>
      <c r="I36" s="7"/>
      <c r="J36" s="7"/>
      <c r="K36" s="7"/>
      <c r="L36" s="7">
        <v>1</v>
      </c>
      <c r="M36" s="7">
        <v>1</v>
      </c>
      <c r="N36" s="7"/>
      <c r="O36" s="7"/>
      <c r="P36" s="7"/>
      <c r="Q36" s="7"/>
      <c r="R36" s="7">
        <v>1</v>
      </c>
      <c r="S36" s="7">
        <v>1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>
        <v>2</v>
      </c>
      <c r="BI36" s="7"/>
      <c r="BJ36" s="7"/>
      <c r="BK36" s="7"/>
      <c r="BL36" s="7"/>
      <c r="BM36" s="7"/>
      <c r="BN36" s="7"/>
      <c r="BO36" s="7"/>
      <c r="BP36" s="7">
        <v>2</v>
      </c>
      <c r="BQ36" s="7">
        <v>2</v>
      </c>
      <c r="BR36" s="7"/>
      <c r="BS36" s="7"/>
      <c r="BT36" s="7"/>
      <c r="BU36" s="7"/>
      <c r="BV36" s="7"/>
      <c r="BW36" s="52"/>
      <c r="BX36" s="52"/>
      <c r="BY36" s="7"/>
      <c r="BZ36" s="59" t="s">
        <v>19</v>
      </c>
      <c r="CA36" s="53">
        <f>SUM(B36:BW36)</f>
        <v>40</v>
      </c>
      <c r="CC36" s="52"/>
      <c r="CD36" s="52"/>
      <c r="CE36" s="52"/>
      <c r="CF36" s="52"/>
      <c r="CG36" s="52"/>
      <c r="CH36" s="52"/>
      <c r="CI36" s="52"/>
      <c r="CJ36" s="52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</row>
    <row r="47" ht="12.75">
      <c r="BW47" s="4" t="s">
        <v>222</v>
      </c>
    </row>
  </sheetData>
  <mergeCells count="9">
    <mergeCell ref="CI11:CI13"/>
    <mergeCell ref="CJ11:CJ13"/>
    <mergeCell ref="CF11:CF13"/>
    <mergeCell ref="CG11:CG13"/>
    <mergeCell ref="CH11:CH13"/>
    <mergeCell ref="I1:W1"/>
    <mergeCell ref="CC11:CC13"/>
    <mergeCell ref="CD11:CD13"/>
    <mergeCell ref="CE11:CE1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3">
      <selection activeCell="B28" sqref="B28"/>
    </sheetView>
  </sheetViews>
  <sheetFormatPr defaultColWidth="9.140625" defaultRowHeight="12.75"/>
  <cols>
    <col min="1" max="1" width="16.8515625" style="47" customWidth="1"/>
    <col min="2" max="2" width="14.28125" style="47" customWidth="1"/>
    <col min="3" max="3" width="13.421875" style="47" customWidth="1"/>
    <col min="4" max="8" width="9.140625" style="47" customWidth="1"/>
    <col min="9" max="9" width="9.140625" style="180" customWidth="1"/>
  </cols>
  <sheetData>
    <row r="1" spans="1:9" ht="12.75">
      <c r="A1" s="48"/>
      <c r="B1" s="174" t="s">
        <v>21</v>
      </c>
      <c r="C1" s="174" t="s">
        <v>22</v>
      </c>
      <c r="D1" s="174" t="s">
        <v>23</v>
      </c>
      <c r="E1" s="174" t="s">
        <v>24</v>
      </c>
      <c r="F1" s="174" t="s">
        <v>25</v>
      </c>
      <c r="G1" s="174" t="s">
        <v>29</v>
      </c>
      <c r="H1" s="174" t="s">
        <v>27</v>
      </c>
      <c r="I1" s="177" t="s">
        <v>26</v>
      </c>
    </row>
    <row r="2" spans="1:9" ht="50.25" customHeight="1">
      <c r="A2" s="49"/>
      <c r="B2" s="175"/>
      <c r="C2" s="175"/>
      <c r="D2" s="175"/>
      <c r="E2" s="175"/>
      <c r="F2" s="175"/>
      <c r="G2" s="175"/>
      <c r="H2" s="175"/>
      <c r="I2" s="178"/>
    </row>
    <row r="3" spans="1:9" ht="13.5" thickBot="1">
      <c r="A3" s="50" t="s">
        <v>227</v>
      </c>
      <c r="B3" s="176"/>
      <c r="C3" s="176"/>
      <c r="D3" s="176"/>
      <c r="E3" s="176"/>
      <c r="F3" s="176"/>
      <c r="G3" s="176"/>
      <c r="H3" s="176"/>
      <c r="I3" s="179"/>
    </row>
    <row r="4" spans="1:9" ht="14.25" hidden="1" thickBot="1" thickTop="1">
      <c r="A4" s="7">
        <v>11691</v>
      </c>
      <c r="B4" s="107">
        <v>66.7060212514758</v>
      </c>
      <c r="C4" s="60"/>
      <c r="D4" s="60"/>
      <c r="E4" s="60"/>
      <c r="F4" s="60"/>
      <c r="G4" s="60"/>
      <c r="H4" s="60"/>
      <c r="I4" s="107">
        <f aca="true" t="shared" si="0" ref="I4:I24">(SUM(B4:D4,G4))/4</f>
        <v>16.67650531286895</v>
      </c>
    </row>
    <row r="5" spans="1:9" ht="13.5" thickTop="1">
      <c r="A5" s="166" t="s">
        <v>37</v>
      </c>
      <c r="B5" s="165">
        <v>71.97309417040358</v>
      </c>
      <c r="C5" s="108">
        <f>'Grades - 2nd Term'!AQ15</f>
        <v>74.94609745579992</v>
      </c>
      <c r="D5" s="108">
        <f>'Grades - 3rd Term'!BX15</f>
        <v>75.2560553633218</v>
      </c>
      <c r="E5" s="61">
        <f>'Grades - 3rd Term'!CF15</f>
        <v>17</v>
      </c>
      <c r="F5" s="61">
        <f>'Grades - 3rd Term'!CG15</f>
        <v>29</v>
      </c>
      <c r="G5" s="61">
        <f>'Grades - 3rd Term'!CH15</f>
        <v>51</v>
      </c>
      <c r="H5" s="156"/>
      <c r="I5" s="107">
        <f t="shared" si="0"/>
        <v>68.29381174738133</v>
      </c>
    </row>
    <row r="6" spans="1:9" ht="12.75">
      <c r="A6" s="167" t="s">
        <v>38</v>
      </c>
      <c r="B6" s="165">
        <v>60.34692767808591</v>
      </c>
      <c r="C6" s="108">
        <f>'Grades - 2nd Term'!AQ16</f>
        <v>59.76818950930627</v>
      </c>
      <c r="D6" s="108">
        <f>'Grades - 3rd Term'!BX16</f>
        <v>69.71869639794168</v>
      </c>
      <c r="E6" s="61">
        <f>'Grades - 3rd Term'!CF16</f>
        <v>21</v>
      </c>
      <c r="F6" s="61">
        <f>'Grades - 3rd Term'!CG16</f>
        <v>60</v>
      </c>
      <c r="G6" s="61">
        <f>'Grades - 3rd Term'!CH16</f>
        <v>82</v>
      </c>
      <c r="H6" s="156"/>
      <c r="I6" s="107">
        <f t="shared" si="0"/>
        <v>67.95845339633347</v>
      </c>
    </row>
    <row r="7" spans="1:9" ht="12.75">
      <c r="A7" s="167">
        <v>10159</v>
      </c>
      <c r="B7" s="165">
        <v>55.90984057174272</v>
      </c>
      <c r="C7" s="108">
        <f>'Grades - 2nd Term'!AQ17</f>
        <v>62.59285091543156</v>
      </c>
      <c r="D7" s="108">
        <f>'Grades - 3rd Term'!BX17</f>
        <v>33.48251748251748</v>
      </c>
      <c r="E7" s="61">
        <f>'Grades - 3rd Term'!CF17</f>
        <v>17</v>
      </c>
      <c r="F7" s="61">
        <f>'Grades - 3rd Term'!CG17</f>
        <v>36</v>
      </c>
      <c r="G7" s="61">
        <f>'Grades - 3rd Term'!CH17</f>
        <v>59</v>
      </c>
      <c r="H7" s="156"/>
      <c r="I7" s="107">
        <f t="shared" si="0"/>
        <v>52.74630224242294</v>
      </c>
    </row>
    <row r="8" spans="1:9" ht="12.75">
      <c r="A8" s="167" t="s">
        <v>39</v>
      </c>
      <c r="B8" s="165">
        <v>60.110562075355155</v>
      </c>
      <c r="C8" s="108">
        <f>'Grades - 2nd Term'!AQ18</f>
        <v>35.247234247234246</v>
      </c>
      <c r="D8" s="108">
        <f>'Grades - 3rd Term'!BX18</f>
        <v>17.576853526220614</v>
      </c>
      <c r="E8" s="156">
        <f>'Grades - 3rd Term'!CF18</f>
        <v>0</v>
      </c>
      <c r="F8" s="156">
        <f>'Grades - 3rd Term'!CG18</f>
        <v>0</v>
      </c>
      <c r="G8" s="156">
        <f>'Grades - 3rd Term'!CH18</f>
        <v>0</v>
      </c>
      <c r="H8" s="61">
        <v>0</v>
      </c>
      <c r="I8" s="107">
        <f>(SUM(B8:D8,H8))/4</f>
        <v>28.233662462202503</v>
      </c>
    </row>
    <row r="9" spans="1:9" ht="12.75">
      <c r="A9" s="167" t="s">
        <v>40</v>
      </c>
      <c r="B9" s="165">
        <v>84.95867319195214</v>
      </c>
      <c r="C9" s="108">
        <f>'Grades - 2nd Term'!AQ19</f>
        <v>91.20135363790186</v>
      </c>
      <c r="D9" s="108">
        <f>'Grades - 3rd Term'!BX19</f>
        <v>80.12349914236707</v>
      </c>
      <c r="E9" s="61">
        <f>'Grades - 3rd Term'!CF19</f>
        <v>22</v>
      </c>
      <c r="F9" s="61">
        <f>'Grades - 3rd Term'!CG19</f>
        <v>55</v>
      </c>
      <c r="G9" s="61">
        <f>'Grades - 3rd Term'!CH19</f>
        <v>79</v>
      </c>
      <c r="H9" s="156"/>
      <c r="I9" s="107">
        <f t="shared" si="0"/>
        <v>83.82088149305527</v>
      </c>
    </row>
    <row r="10" spans="1:9" ht="12.75">
      <c r="A10" s="167" t="s">
        <v>41</v>
      </c>
      <c r="B10" s="165">
        <v>64.6215334420881</v>
      </c>
      <c r="C10" s="108">
        <f>'Grades - 2nd Term'!AQ20</f>
        <v>62.069144338807256</v>
      </c>
      <c r="D10" s="108">
        <f>'Grades - 3rd Term'!BX20</f>
        <v>55.36648250460405</v>
      </c>
      <c r="E10" s="61">
        <f>'Grades - 3rd Term'!CF20</f>
        <v>21</v>
      </c>
      <c r="F10" s="61">
        <f>'Grades - 3rd Term'!CG20</f>
        <v>52</v>
      </c>
      <c r="G10" s="61">
        <f>'Grades - 3rd Term'!CH20</f>
        <v>77</v>
      </c>
      <c r="H10" s="156"/>
      <c r="I10" s="107">
        <f t="shared" si="0"/>
        <v>64.76429007137486</v>
      </c>
    </row>
    <row r="11" spans="1:9" ht="12.75">
      <c r="A11" s="167" t="s">
        <v>42</v>
      </c>
      <c r="B11" s="165">
        <v>68.35236541598695</v>
      </c>
      <c r="C11" s="108">
        <f>'Grades - 2nd Term'!AQ21</f>
        <v>62.182741116751274</v>
      </c>
      <c r="D11" s="108">
        <f>'Grades - 3rd Term'!BX21</f>
        <v>63.10394265232974</v>
      </c>
      <c r="E11" s="61">
        <f>'Grades - 3rd Term'!CF21</f>
        <v>18</v>
      </c>
      <c r="F11" s="61">
        <f>'Grades - 3rd Term'!CG21</f>
        <v>41</v>
      </c>
      <c r="G11" s="61">
        <f>'Grades - 3rd Term'!CH21</f>
        <v>65</v>
      </c>
      <c r="H11" s="156"/>
      <c r="I11" s="107">
        <f t="shared" si="0"/>
        <v>64.65976229626699</v>
      </c>
    </row>
    <row r="12" spans="1:9" ht="12.75">
      <c r="A12" s="167" t="s">
        <v>43</v>
      </c>
      <c r="B12" s="165">
        <v>59.51005981511691</v>
      </c>
      <c r="C12" s="108">
        <f>'Grades - 2nd Term'!AQ22</f>
        <v>66.98357821953329</v>
      </c>
      <c r="D12" s="108">
        <f>'Grades - 3rd Term'!BX22</f>
        <v>39.719723183391004</v>
      </c>
      <c r="E12" s="61">
        <f>'Grades - 3rd Term'!CF22</f>
        <v>14</v>
      </c>
      <c r="F12" s="61">
        <f>'Grades - 3rd Term'!CG22</f>
        <v>36</v>
      </c>
      <c r="G12" s="61">
        <f>'Grades - 3rd Term'!CH22</f>
        <v>58</v>
      </c>
      <c r="H12" s="156"/>
      <c r="I12" s="107">
        <f t="shared" si="0"/>
        <v>56.0533403045103</v>
      </c>
    </row>
    <row r="13" spans="1:9" ht="12.75">
      <c r="A13" s="167" t="s">
        <v>44</v>
      </c>
      <c r="B13" s="165">
        <v>35.14917127071823</v>
      </c>
      <c r="C13" s="108">
        <f>'Grades - 2nd Term'!AQ23</f>
        <v>20.24703891708968</v>
      </c>
      <c r="D13" s="108">
        <f>'Grades - 3rd Term'!BX23</f>
        <v>28.9247311827957</v>
      </c>
      <c r="E13" s="156">
        <f>'Grades - 3rd Term'!CF23</f>
        <v>0</v>
      </c>
      <c r="F13" s="156">
        <f>'Grades - 3rd Term'!CG23</f>
        <v>0</v>
      </c>
      <c r="G13" s="156">
        <f>'Grades - 3rd Term'!CH23</f>
        <v>0</v>
      </c>
      <c r="H13" s="61">
        <v>33</v>
      </c>
      <c r="I13" s="107">
        <f>(SUM(B13:D13,H13))/4</f>
        <v>29.3302353426509</v>
      </c>
    </row>
    <row r="14" spans="1:9" ht="12.75">
      <c r="A14" s="167" t="s">
        <v>45</v>
      </c>
      <c r="B14" s="165">
        <v>89.52637302882002</v>
      </c>
      <c r="C14" s="108">
        <f>'Grades - 2nd Term'!AQ24</f>
        <v>81.0067681895093</v>
      </c>
      <c r="D14" s="108">
        <f>'Grades - 3rd Term'!BX24</f>
        <v>75.25414364640885</v>
      </c>
      <c r="E14" s="61">
        <f>'Grades - 3rd Term'!CF24</f>
        <v>20</v>
      </c>
      <c r="F14" s="61">
        <f>'Grades - 3rd Term'!CG24</f>
        <v>57</v>
      </c>
      <c r="G14" s="61">
        <f>'Grades - 3rd Term'!CH24</f>
        <v>80</v>
      </c>
      <c r="H14" s="156"/>
      <c r="I14" s="107">
        <f t="shared" si="0"/>
        <v>81.44682121618455</v>
      </c>
    </row>
    <row r="15" spans="1:9" ht="12.75">
      <c r="A15" s="167">
        <v>11208</v>
      </c>
      <c r="B15" s="165">
        <v>40.24458032240133</v>
      </c>
      <c r="C15" s="108">
        <f>'Grades - 2nd Term'!AQ25</f>
        <v>23.233256351039262</v>
      </c>
      <c r="D15" s="108">
        <f>'Grades - 3rd Term'!BX25</f>
        <v>10.808027923211169</v>
      </c>
      <c r="E15" s="156">
        <f>'Grades - 3rd Term'!CF25</f>
        <v>0</v>
      </c>
      <c r="F15" s="156">
        <f>'Grades - 3rd Term'!CG25</f>
        <v>0</v>
      </c>
      <c r="G15" s="156">
        <f>'Grades - 3rd Term'!CH25</f>
        <v>0</v>
      </c>
      <c r="H15" s="61">
        <v>0</v>
      </c>
      <c r="I15" s="107">
        <f>(SUM(B15:D15,H15))/4</f>
        <v>18.57146614916294</v>
      </c>
    </row>
    <row r="16" spans="1:10" ht="12.75">
      <c r="A16" s="167">
        <v>10145</v>
      </c>
      <c r="B16" s="165">
        <v>85.1974921630094</v>
      </c>
      <c r="C16" s="108">
        <f>'Grades - 2nd Term'!AQ26</f>
        <v>72.41962774957699</v>
      </c>
      <c r="D16" s="108">
        <f>'Grades - 3rd Term'!BX26</f>
        <v>59.31166347992352</v>
      </c>
      <c r="E16" s="156">
        <f>'Grades - 3rd Term'!CF26</f>
        <v>0</v>
      </c>
      <c r="F16" s="156">
        <f>'Grades - 3rd Term'!CG26</f>
        <v>0</v>
      </c>
      <c r="G16" s="156">
        <f>'Grades - 3rd Term'!CH26</f>
        <v>0</v>
      </c>
      <c r="H16" s="61">
        <v>70</v>
      </c>
      <c r="I16" s="107">
        <f>(SUM(B16:D16,H16))/4</f>
        <v>71.73219584812747</v>
      </c>
      <c r="J16" t="s">
        <v>226</v>
      </c>
    </row>
    <row r="17" spans="1:9" ht="12.75">
      <c r="A17" s="167" t="s">
        <v>46</v>
      </c>
      <c r="B17" s="165">
        <v>64.70908102229473</v>
      </c>
      <c r="C17" s="108">
        <f>'Grades - 2nd Term'!AQ27</f>
        <v>73.1655290102389</v>
      </c>
      <c r="D17" s="108">
        <f>'Grades - 3rd Term'!BX27</f>
        <v>62.126929674099486</v>
      </c>
      <c r="E17" s="61">
        <f>'Grades - 3rd Term'!CF27</f>
        <v>11</v>
      </c>
      <c r="F17" s="61">
        <f>'Grades - 3rd Term'!CG27</f>
        <v>30</v>
      </c>
      <c r="G17" s="61">
        <f>'Grades - 3rd Term'!CH27</f>
        <v>50</v>
      </c>
      <c r="H17" s="156"/>
      <c r="I17" s="107">
        <f t="shared" si="0"/>
        <v>62.50038492665827</v>
      </c>
    </row>
    <row r="18" spans="1:9" ht="12.75">
      <c r="A18" s="167" t="s">
        <v>47</v>
      </c>
      <c r="B18" s="165">
        <v>78.03153887982599</v>
      </c>
      <c r="C18" s="108">
        <f>'Grades - 2nd Term'!AQ28</f>
        <v>86.16751269035532</v>
      </c>
      <c r="D18" s="108">
        <f>'Grades - 3rd Term'!BX28</f>
        <v>76.32188065099457</v>
      </c>
      <c r="E18" s="61">
        <f>'Grades - 3rd Term'!CF28</f>
        <v>19</v>
      </c>
      <c r="F18" s="61">
        <f>'Grades - 3rd Term'!CG28</f>
        <v>42</v>
      </c>
      <c r="G18" s="61">
        <f>'Grades - 3rd Term'!CH28</f>
        <v>67</v>
      </c>
      <c r="H18" s="156"/>
      <c r="I18" s="107">
        <f t="shared" si="0"/>
        <v>76.88023305529397</v>
      </c>
    </row>
    <row r="19" spans="1:9" ht="12.75">
      <c r="A19" s="167" t="s">
        <v>48</v>
      </c>
      <c r="B19" s="165">
        <v>50.02718868950517</v>
      </c>
      <c r="C19" s="108">
        <f>'Grades - 2nd Term'!AQ29</f>
        <v>30.424585876198776</v>
      </c>
      <c r="D19" s="108">
        <f>'Grades - 3rd Term'!BX29</f>
        <v>32.17838765008577</v>
      </c>
      <c r="E19" s="61">
        <f>'Grades - 3rd Term'!CF29</f>
        <v>14</v>
      </c>
      <c r="F19" s="61">
        <f>'Grades - 3rd Term'!CG29</f>
        <v>42</v>
      </c>
      <c r="G19" s="61">
        <f>'Grades - 3rd Term'!CH29</f>
        <v>65</v>
      </c>
      <c r="H19" s="156"/>
      <c r="I19" s="107">
        <f t="shared" si="0"/>
        <v>44.40754055394743</v>
      </c>
    </row>
    <row r="20" spans="1:9" ht="12.75">
      <c r="A20" s="167">
        <v>10483</v>
      </c>
      <c r="B20" s="165">
        <v>65.61056105610561</v>
      </c>
      <c r="C20" s="108">
        <f>'Grades - 2nd Term'!AQ30</f>
        <v>54.8003613369467</v>
      </c>
      <c r="D20" s="108">
        <f>'Grades - 3rd Term'!BX30</f>
        <v>38.24372759856631</v>
      </c>
      <c r="E20" s="61">
        <f>'Grades - 3rd Term'!CF30</f>
        <v>0</v>
      </c>
      <c r="F20" s="61">
        <f>'Grades - 3rd Term'!CG30</f>
        <v>0</v>
      </c>
      <c r="G20" s="61">
        <f>'Grades - 3rd Term'!CH30</f>
        <v>0</v>
      </c>
      <c r="H20" s="156"/>
      <c r="I20" s="107">
        <f t="shared" si="0"/>
        <v>39.66366249790465</v>
      </c>
    </row>
    <row r="21" spans="1:9" ht="12.75">
      <c r="A21" s="167">
        <v>10567</v>
      </c>
      <c r="B21" s="165">
        <v>56.98749320282762</v>
      </c>
      <c r="C21" s="108">
        <f>'Grades - 2nd Term'!AQ31</f>
        <v>44.5980985306828</v>
      </c>
      <c r="D21" s="108">
        <f>'Grades - 3rd Term'!BX31</f>
        <v>30.405204460966544</v>
      </c>
      <c r="E21" s="61">
        <f>'Grades - 3rd Term'!CF31</f>
        <v>17</v>
      </c>
      <c r="F21" s="61">
        <f>'Grades - 3rd Term'!CG31</f>
        <v>23</v>
      </c>
      <c r="G21" s="61">
        <f>'Grades - 3rd Term'!CH31</f>
        <v>45</v>
      </c>
      <c r="H21" s="156"/>
      <c r="I21" s="107">
        <f t="shared" si="0"/>
        <v>44.24769904861924</v>
      </c>
    </row>
    <row r="22" spans="1:9" ht="12.75">
      <c r="A22" s="167" t="s">
        <v>49</v>
      </c>
      <c r="B22" s="165">
        <v>50.20285871357889</v>
      </c>
      <c r="C22" s="108">
        <f>'Grades - 2nd Term'!AQ32</f>
        <v>16.085440278988667</v>
      </c>
      <c r="D22" s="108">
        <f>'Grades - 3rd Term'!BX32</f>
        <v>10.588235294117647</v>
      </c>
      <c r="E22" s="156">
        <f>'Grades - 3rd Term'!CF32</f>
        <v>0</v>
      </c>
      <c r="F22" s="156">
        <f>'Grades - 3rd Term'!CG32</f>
        <v>0</v>
      </c>
      <c r="G22" s="156">
        <f>'Grades - 3rd Term'!CH32</f>
        <v>0</v>
      </c>
      <c r="H22" s="61">
        <v>0</v>
      </c>
      <c r="I22" s="107">
        <f>(SUM(B22:D22,H22))/4</f>
        <v>19.219133571671303</v>
      </c>
    </row>
    <row r="23" spans="1:9" ht="12.75">
      <c r="A23" s="167" t="s">
        <v>50</v>
      </c>
      <c r="B23" s="165">
        <v>23.779637377963738</v>
      </c>
      <c r="C23" s="108">
        <f>'Grades - 2nd Term'!AQ33</f>
        <v>10.267857142857142</v>
      </c>
      <c r="D23" s="108">
        <f>'Grades - 3rd Term'!BX33</f>
        <v>10.191972076788831</v>
      </c>
      <c r="E23" s="156">
        <f>'Grades - 3rd Term'!CF33</f>
        <v>0</v>
      </c>
      <c r="F23" s="156">
        <f>'Grades - 3rd Term'!CG33</f>
        <v>0</v>
      </c>
      <c r="G23" s="156">
        <f>'Grades - 3rd Term'!CH33</f>
        <v>0</v>
      </c>
      <c r="H23" s="61">
        <v>0</v>
      </c>
      <c r="I23" s="107">
        <f>(SUM(B23:D23,H23))/4</f>
        <v>11.059866649402426</v>
      </c>
    </row>
    <row r="24" spans="1:9" s="30" customFormat="1" ht="12.75">
      <c r="A24" s="167" t="s">
        <v>51</v>
      </c>
      <c r="B24" s="165">
        <v>49.43946188340807</v>
      </c>
      <c r="C24" s="108">
        <f>'Grades - 2nd Term'!AQ34</f>
        <v>32.32497839239412</v>
      </c>
      <c r="D24" s="108">
        <f>'Grades - 3rd Term'!BX34</f>
        <v>15.06398537477148</v>
      </c>
      <c r="E24" s="61">
        <f>'Grades - 3rd Term'!CF34</f>
        <v>19</v>
      </c>
      <c r="F24" s="61">
        <f>'Grades - 3rd Term'!CG34</f>
        <v>28</v>
      </c>
      <c r="G24" s="61">
        <f>'Grades - 3rd Term'!CH34</f>
        <v>51</v>
      </c>
      <c r="H24" s="156"/>
      <c r="I24" s="107">
        <f t="shared" si="0"/>
        <v>36.95710641264342</v>
      </c>
    </row>
    <row r="25" spans="1:9" ht="12.75">
      <c r="A25" s="167">
        <v>11664</v>
      </c>
      <c r="B25" s="165">
        <v>50.4394618834081</v>
      </c>
      <c r="C25" s="108">
        <f>'Grades - 2nd Term'!AQ35</f>
        <v>49.588832487309645</v>
      </c>
      <c r="D25" s="108">
        <f>'Grades - 3rd Term'!BX35</f>
        <v>29.885077186963983</v>
      </c>
      <c r="E25" s="61">
        <f>'Grades - 3rd Term'!CF35</f>
        <v>20</v>
      </c>
      <c r="F25" s="61">
        <f>'Grades - 3rd Term'!CG35</f>
        <v>47</v>
      </c>
      <c r="G25" s="61">
        <f>'Grades - 3rd Term'!CH35</f>
        <v>71</v>
      </c>
      <c r="H25" s="156"/>
      <c r="I25" s="107">
        <f>(SUM(B25:D25,G25))/4</f>
        <v>50.22834288942043</v>
      </c>
    </row>
    <row r="26" spans="1:7" ht="12.75">
      <c r="A26" s="167"/>
      <c r="E26" s="61">
        <v>11</v>
      </c>
      <c r="F26" s="61">
        <v>35</v>
      </c>
      <c r="G26" s="61">
        <v>55</v>
      </c>
    </row>
    <row r="28" spans="6:8" ht="12.75">
      <c r="F28" s="164" t="s">
        <v>223</v>
      </c>
      <c r="G28" s="28">
        <f>(8/14)*100</f>
        <v>57.14285714285714</v>
      </c>
      <c r="H28" s="28"/>
    </row>
    <row r="29" spans="6:8" ht="12.75">
      <c r="F29" s="164" t="s">
        <v>224</v>
      </c>
      <c r="G29" s="28">
        <v>5</v>
      </c>
      <c r="H29" s="28"/>
    </row>
    <row r="30" spans="6:7" ht="12.75">
      <c r="F30" s="164" t="s">
        <v>225</v>
      </c>
      <c r="G30" s="28">
        <v>1</v>
      </c>
    </row>
  </sheetData>
  <mergeCells count="8">
    <mergeCell ref="B1:B3"/>
    <mergeCell ref="G1:G3"/>
    <mergeCell ref="H1:H3"/>
    <mergeCell ref="I1:I3"/>
    <mergeCell ref="C1:C3"/>
    <mergeCell ref="D1:D3"/>
    <mergeCell ref="E1:E3"/>
    <mergeCell ref="F1:F3"/>
  </mergeCells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2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7.7109375" style="4" customWidth="1"/>
    <col min="2" max="2" width="10.421875" style="4" customWidth="1"/>
    <col min="3" max="5" width="9.140625" style="77" customWidth="1"/>
    <col min="6" max="6" width="1.28515625" style="57" customWidth="1"/>
    <col min="7" max="7" width="9.140625" style="57" hidden="1" customWidth="1"/>
    <col min="8" max="8" width="7.8515625" style="77" customWidth="1"/>
    <col min="9" max="9" width="10.28125" style="77" customWidth="1"/>
    <col min="10" max="12" width="9.140625" style="77" customWidth="1"/>
    <col min="13" max="13" width="1.421875" style="57" customWidth="1"/>
    <col min="14" max="14" width="1.421875" style="57" hidden="1" customWidth="1"/>
    <col min="15" max="19" width="9.140625" style="77" customWidth="1"/>
    <col min="20" max="20" width="17.7109375" style="4" customWidth="1"/>
    <col min="21" max="21" width="1.1484375" style="57" customWidth="1"/>
    <col min="22" max="22" width="9.140625" style="57" hidden="1" customWidth="1"/>
    <col min="23" max="27" width="9.140625" style="77" customWidth="1"/>
    <col min="28" max="28" width="1.1484375" style="57" customWidth="1"/>
    <col min="29" max="29" width="9.140625" style="57" hidden="1" customWidth="1"/>
    <col min="30" max="30" width="9.140625" style="77" customWidth="1"/>
    <col min="31" max="32" width="7.8515625" style="77" customWidth="1"/>
    <col min="33" max="34" width="9.140625" style="77" customWidth="1"/>
    <col min="35" max="35" width="0.9921875" style="57" customWidth="1"/>
    <col min="36" max="36" width="9.140625" style="57" hidden="1" customWidth="1"/>
    <col min="37" max="37" width="9.140625" style="57" customWidth="1"/>
    <col min="38" max="38" width="7.28125" style="57" customWidth="1"/>
    <col min="39" max="39" width="7.28125" style="77" customWidth="1"/>
    <col min="40" max="41" width="9.140625" style="77" customWidth="1"/>
    <col min="42" max="42" width="17.7109375" style="4" customWidth="1"/>
    <col min="43" max="43" width="0.9921875" style="57" customWidth="1"/>
    <col min="44" max="44" width="9.140625" style="57" hidden="1" customWidth="1"/>
    <col min="45" max="45" width="9.140625" style="4" customWidth="1"/>
    <col min="46" max="48" width="7.8515625" style="4" customWidth="1"/>
    <col min="49" max="49" width="9.140625" style="4" customWidth="1"/>
    <col min="50" max="50" width="0.9921875" style="57" customWidth="1"/>
    <col min="51" max="51" width="9.140625" style="57" hidden="1" customWidth="1"/>
    <col min="52" max="53" width="9.140625" style="77" customWidth="1"/>
    <col min="54" max="55" width="8.00390625" style="77" customWidth="1"/>
    <col min="56" max="56" width="9.140625" style="4" customWidth="1"/>
    <col min="57" max="57" width="0.9921875" style="57" customWidth="1"/>
    <col min="58" max="58" width="9.140625" style="57" hidden="1" customWidth="1"/>
    <col min="59" max="60" width="9.140625" style="4" customWidth="1"/>
    <col min="61" max="63" width="7.57421875" style="4" customWidth="1"/>
    <col min="64" max="64" width="0.85546875" style="57" customWidth="1"/>
    <col min="65" max="65" width="9.140625" style="57" hidden="1" customWidth="1"/>
    <col min="66" max="66" width="17.7109375" style="4" customWidth="1"/>
    <col min="67" max="69" width="9.140625" style="77" customWidth="1"/>
    <col min="70" max="70" width="6.57421875" style="77" customWidth="1"/>
    <col min="71" max="71" width="6.57421875" style="113" customWidth="1"/>
    <col min="72" max="72" width="0.85546875" style="57" customWidth="1"/>
    <col min="73" max="73" width="9.140625" style="57" hidden="1" customWidth="1"/>
    <col min="74" max="76" width="9.140625" style="77" customWidth="1"/>
    <col min="77" max="78" width="8.421875" style="77" customWidth="1"/>
    <col min="79" max="79" width="0.9921875" style="57" customWidth="1"/>
    <col min="80" max="80" width="9.140625" style="57" hidden="1" customWidth="1"/>
    <col min="81" max="82" width="9.140625" style="77" customWidth="1"/>
    <col min="83" max="84" width="9.140625" style="121" customWidth="1"/>
    <col min="85" max="85" width="7.421875" style="121" customWidth="1"/>
    <col min="86" max="86" width="1.1484375" style="57" customWidth="1"/>
    <col min="87" max="87" width="9.140625" style="57" hidden="1" customWidth="1"/>
    <col min="88" max="91" width="9.140625" style="77" customWidth="1"/>
    <col min="92" max="92" width="7.00390625" style="77" customWidth="1"/>
    <col min="93" max="93" width="0.85546875" style="57" customWidth="1"/>
    <col min="94" max="94" width="7.00390625" style="57" hidden="1" customWidth="1"/>
    <col min="95" max="95" width="17.7109375" style="4" customWidth="1"/>
    <col min="96" max="100" width="9.140625" style="77" customWidth="1"/>
    <col min="101" max="101" width="1.28515625" style="57" customWidth="1"/>
    <col min="102" max="102" width="2.7109375" style="57" hidden="1" customWidth="1"/>
    <col min="103" max="107" width="9.140625" style="77" customWidth="1"/>
    <col min="108" max="108" width="1.1484375" style="57" customWidth="1"/>
    <col min="109" max="109" width="7.421875" style="57" hidden="1" customWidth="1"/>
    <col min="110" max="114" width="9.140625" style="77" customWidth="1"/>
    <col min="115" max="115" width="17.7109375" style="4" customWidth="1"/>
    <col min="116" max="116" width="1.1484375" style="57" customWidth="1"/>
    <col min="117" max="117" width="5.00390625" style="57" hidden="1" customWidth="1"/>
    <col min="118" max="118" width="11.8515625" style="68" customWidth="1"/>
    <col min="119" max="122" width="9.140625" style="68" customWidth="1"/>
    <col min="123" max="123" width="1.7109375" style="73" customWidth="1"/>
    <col min="124" max="124" width="4.7109375" style="73" hidden="1" customWidth="1"/>
    <col min="125" max="125" width="9.140625" style="133" customWidth="1"/>
    <col min="126" max="129" width="9.140625" style="77" customWidth="1"/>
    <col min="130" max="130" width="1.421875" style="57" customWidth="1"/>
    <col min="131" max="131" width="4.57421875" style="57" hidden="1" customWidth="1"/>
    <col min="132" max="132" width="8.8515625" style="77" customWidth="1"/>
    <col min="133" max="133" width="8.00390625" style="77" customWidth="1"/>
    <col min="134" max="134" width="9.140625" style="146" customWidth="1"/>
    <col min="135" max="136" width="9.140625" style="77" customWidth="1"/>
    <col min="137" max="137" width="17.7109375" style="4" customWidth="1"/>
    <col min="138" max="138" width="0.9921875" style="57" customWidth="1"/>
    <col min="139" max="139" width="9.140625" style="57" hidden="1" customWidth="1"/>
    <col min="140" max="140" width="7.7109375" style="68" customWidth="1"/>
    <col min="141" max="141" width="7.7109375" style="77" customWidth="1"/>
    <col min="142" max="142" width="9.140625" style="113" customWidth="1"/>
    <col min="143" max="144" width="9.140625" style="77" customWidth="1"/>
    <col min="145" max="145" width="1.1484375" style="57" customWidth="1"/>
    <col min="146" max="146" width="9.140625" style="57" hidden="1" customWidth="1"/>
    <col min="147" max="147" width="7.57421875" style="77" customWidth="1"/>
    <col min="148" max="148" width="7.57421875" style="146" customWidth="1"/>
    <col min="149" max="151" width="9.140625" style="146" customWidth="1"/>
    <col min="152" max="152" width="1.28515625" style="57" customWidth="1"/>
    <col min="153" max="153" width="1.421875" style="57" hidden="1" customWidth="1"/>
    <col min="154" max="16384" width="9.140625" style="4" customWidth="1"/>
  </cols>
  <sheetData>
    <row r="1" spans="34:149" ht="12.75" customHeight="1">
      <c r="AH1" s="77" t="s">
        <v>116</v>
      </c>
      <c r="EL1" s="113" t="s">
        <v>24</v>
      </c>
      <c r="ES1" s="146" t="s">
        <v>219</v>
      </c>
    </row>
    <row r="2" spans="1:156" s="62" customFormat="1" ht="13.5" thickBot="1">
      <c r="A2" s="62" t="s">
        <v>34</v>
      </c>
      <c r="B2" s="62" t="s">
        <v>32</v>
      </c>
      <c r="C2" s="74">
        <v>38966</v>
      </c>
      <c r="D2" s="74">
        <v>38967</v>
      </c>
      <c r="E2" s="74">
        <v>38968</v>
      </c>
      <c r="F2" s="54">
        <v>38969</v>
      </c>
      <c r="G2" s="54">
        <v>38970</v>
      </c>
      <c r="H2" s="74">
        <v>38971</v>
      </c>
      <c r="I2" s="74">
        <v>38972</v>
      </c>
      <c r="J2" s="74">
        <v>38973</v>
      </c>
      <c r="K2" s="74">
        <v>38974</v>
      </c>
      <c r="L2" s="74">
        <v>38975</v>
      </c>
      <c r="M2" s="54">
        <v>38976</v>
      </c>
      <c r="N2" s="54">
        <v>38977</v>
      </c>
      <c r="O2" s="74">
        <v>38978</v>
      </c>
      <c r="P2" s="74">
        <v>38979</v>
      </c>
      <c r="Q2" s="74">
        <v>38980</v>
      </c>
      <c r="R2" s="74">
        <v>38981</v>
      </c>
      <c r="S2" s="74">
        <v>38982</v>
      </c>
      <c r="T2" s="62" t="s">
        <v>34</v>
      </c>
      <c r="U2" s="54">
        <v>38983</v>
      </c>
      <c r="V2" s="54">
        <v>38984</v>
      </c>
      <c r="W2" s="74">
        <v>38985</v>
      </c>
      <c r="X2" s="74">
        <v>38986</v>
      </c>
      <c r="Y2" s="74">
        <v>38987</v>
      </c>
      <c r="Z2" s="74">
        <v>38988</v>
      </c>
      <c r="AA2" s="74">
        <v>38989</v>
      </c>
      <c r="AB2" s="54">
        <v>38990</v>
      </c>
      <c r="AC2" s="54">
        <v>38991</v>
      </c>
      <c r="AD2" s="74">
        <v>38992</v>
      </c>
      <c r="AE2" s="74">
        <v>38993</v>
      </c>
      <c r="AF2" s="74">
        <v>38994</v>
      </c>
      <c r="AG2" s="74">
        <v>38995</v>
      </c>
      <c r="AH2" s="74">
        <v>38996</v>
      </c>
      <c r="AI2" s="54">
        <v>38997</v>
      </c>
      <c r="AJ2" s="54">
        <v>38998</v>
      </c>
      <c r="AK2" s="54">
        <v>38999</v>
      </c>
      <c r="AL2" s="54">
        <v>39000</v>
      </c>
      <c r="AM2" s="74">
        <v>39001</v>
      </c>
      <c r="AN2" s="74">
        <v>39002</v>
      </c>
      <c r="AO2" s="74">
        <v>39003</v>
      </c>
      <c r="AP2" s="62" t="s">
        <v>34</v>
      </c>
      <c r="AQ2" s="54">
        <v>39004</v>
      </c>
      <c r="AR2" s="54">
        <v>39005</v>
      </c>
      <c r="AS2" s="63">
        <v>39006</v>
      </c>
      <c r="AT2" s="63">
        <v>39007</v>
      </c>
      <c r="AU2" s="63">
        <v>39008</v>
      </c>
      <c r="AV2" s="63">
        <v>39009</v>
      </c>
      <c r="AW2" s="63">
        <v>39010</v>
      </c>
      <c r="AX2" s="54">
        <v>39011</v>
      </c>
      <c r="AY2" s="54">
        <v>39012</v>
      </c>
      <c r="AZ2" s="74">
        <v>39013</v>
      </c>
      <c r="BA2" s="74">
        <v>39014</v>
      </c>
      <c r="BB2" s="74">
        <v>39015</v>
      </c>
      <c r="BC2" s="74">
        <v>39016</v>
      </c>
      <c r="BD2" s="63">
        <v>39017</v>
      </c>
      <c r="BE2" s="54">
        <v>39018</v>
      </c>
      <c r="BF2" s="54">
        <v>39019</v>
      </c>
      <c r="BG2" s="63">
        <v>39020</v>
      </c>
      <c r="BH2" s="63">
        <v>39021</v>
      </c>
      <c r="BI2" s="63">
        <v>39022</v>
      </c>
      <c r="BJ2" s="63">
        <v>39023</v>
      </c>
      <c r="BK2" s="63">
        <v>39024</v>
      </c>
      <c r="BL2" s="54">
        <v>39025</v>
      </c>
      <c r="BM2" s="54">
        <v>39026</v>
      </c>
      <c r="BN2" s="62" t="s">
        <v>34</v>
      </c>
      <c r="BO2" s="74">
        <v>39027</v>
      </c>
      <c r="BP2" s="74">
        <v>39028</v>
      </c>
      <c r="BQ2" s="74">
        <v>39029</v>
      </c>
      <c r="BR2" s="74">
        <v>39030</v>
      </c>
      <c r="BS2" s="114">
        <v>39031</v>
      </c>
      <c r="BT2" s="54">
        <v>39032</v>
      </c>
      <c r="BU2" s="54">
        <v>39033</v>
      </c>
      <c r="BV2" s="74">
        <v>39034</v>
      </c>
      <c r="BW2" s="74">
        <v>39035</v>
      </c>
      <c r="BX2" s="74">
        <v>39036</v>
      </c>
      <c r="BY2" s="74">
        <v>39037</v>
      </c>
      <c r="BZ2" s="74">
        <v>39038</v>
      </c>
      <c r="CA2" s="54">
        <v>39039</v>
      </c>
      <c r="CB2" s="54">
        <v>39040</v>
      </c>
      <c r="CC2" s="74">
        <v>39041</v>
      </c>
      <c r="CD2" s="74">
        <v>39042</v>
      </c>
      <c r="CE2" s="122">
        <v>39043</v>
      </c>
      <c r="CF2" s="122">
        <v>39044</v>
      </c>
      <c r="CG2" s="122">
        <v>39045</v>
      </c>
      <c r="CH2" s="54">
        <v>39046</v>
      </c>
      <c r="CI2" s="54">
        <v>39047</v>
      </c>
      <c r="CJ2" s="74">
        <v>39048</v>
      </c>
      <c r="CK2" s="74">
        <v>39049</v>
      </c>
      <c r="CL2" s="74">
        <v>39050</v>
      </c>
      <c r="CM2" s="74">
        <v>39051</v>
      </c>
      <c r="CN2" s="74">
        <v>39052</v>
      </c>
      <c r="CO2" s="54">
        <v>39053</v>
      </c>
      <c r="CP2" s="54">
        <v>39054</v>
      </c>
      <c r="CQ2" s="62" t="s">
        <v>34</v>
      </c>
      <c r="CR2" s="74">
        <v>39055</v>
      </c>
      <c r="CS2" s="74">
        <v>39056</v>
      </c>
      <c r="CT2" s="74">
        <v>39057</v>
      </c>
      <c r="CU2" s="74">
        <v>39058</v>
      </c>
      <c r="CV2" s="74">
        <v>39059</v>
      </c>
      <c r="CW2" s="54">
        <v>39060</v>
      </c>
      <c r="CX2" s="54">
        <v>39061</v>
      </c>
      <c r="CY2" s="74">
        <v>39062</v>
      </c>
      <c r="CZ2" s="74">
        <v>39063</v>
      </c>
      <c r="DA2" s="74">
        <v>39064</v>
      </c>
      <c r="DB2" s="74">
        <v>39065</v>
      </c>
      <c r="DC2" s="74">
        <v>39066</v>
      </c>
      <c r="DD2" s="54">
        <v>39067</v>
      </c>
      <c r="DE2" s="54">
        <v>39068</v>
      </c>
      <c r="DF2" s="74">
        <v>39069</v>
      </c>
      <c r="DG2" s="74">
        <v>39070</v>
      </c>
      <c r="DH2" s="74">
        <v>39071</v>
      </c>
      <c r="DI2" s="74">
        <v>39072</v>
      </c>
      <c r="DJ2" s="74">
        <v>39073</v>
      </c>
      <c r="DK2" s="62" t="s">
        <v>34</v>
      </c>
      <c r="DL2" s="54">
        <v>39074</v>
      </c>
      <c r="DM2" s="54">
        <v>39075</v>
      </c>
      <c r="DN2" s="69">
        <v>39076</v>
      </c>
      <c r="DO2" s="69">
        <v>39077</v>
      </c>
      <c r="DP2" s="69">
        <v>39078</v>
      </c>
      <c r="DQ2" s="69">
        <v>39079</v>
      </c>
      <c r="DR2" s="69">
        <v>39080</v>
      </c>
      <c r="DS2" s="70">
        <v>39081</v>
      </c>
      <c r="DT2" s="70">
        <v>39082</v>
      </c>
      <c r="DU2" s="69">
        <v>39083</v>
      </c>
      <c r="DV2" s="74">
        <v>39084</v>
      </c>
      <c r="DW2" s="74">
        <v>39085</v>
      </c>
      <c r="DX2" s="74">
        <v>39086</v>
      </c>
      <c r="DY2" s="74">
        <v>39087</v>
      </c>
      <c r="DZ2" s="54">
        <v>39088</v>
      </c>
      <c r="EA2" s="54">
        <v>39089</v>
      </c>
      <c r="EB2" s="74">
        <v>39090</v>
      </c>
      <c r="EC2" s="74">
        <v>39091</v>
      </c>
      <c r="ED2" s="152">
        <v>39092</v>
      </c>
      <c r="EE2" s="74">
        <v>39093</v>
      </c>
      <c r="EF2" s="74">
        <v>39094</v>
      </c>
      <c r="EG2" s="62" t="s">
        <v>34</v>
      </c>
      <c r="EH2" s="54">
        <v>39095</v>
      </c>
      <c r="EI2" s="54">
        <v>39096</v>
      </c>
      <c r="EJ2" s="69">
        <v>39097</v>
      </c>
      <c r="EK2" s="74">
        <v>39098</v>
      </c>
      <c r="EL2" s="114">
        <v>39099</v>
      </c>
      <c r="EM2" s="74">
        <v>39100</v>
      </c>
      <c r="EN2" s="74">
        <v>39101</v>
      </c>
      <c r="EO2" s="54">
        <v>39102</v>
      </c>
      <c r="EP2" s="54">
        <v>39103</v>
      </c>
      <c r="EQ2" s="74">
        <v>39104</v>
      </c>
      <c r="ER2" s="157">
        <v>39105</v>
      </c>
      <c r="ES2" s="157">
        <v>39106</v>
      </c>
      <c r="ET2" s="157">
        <v>39107</v>
      </c>
      <c r="EU2" s="157">
        <v>39108</v>
      </c>
      <c r="EV2" s="54">
        <v>39109</v>
      </c>
      <c r="EW2" s="54">
        <v>39110</v>
      </c>
      <c r="EX2" s="63">
        <v>39111</v>
      </c>
      <c r="EY2" s="63">
        <v>39112</v>
      </c>
      <c r="EZ2" s="63">
        <v>39113</v>
      </c>
    </row>
    <row r="3" spans="1:153" s="64" customFormat="1" ht="14.25" customHeight="1" hidden="1" thickTop="1">
      <c r="A3" s="7" t="s">
        <v>71</v>
      </c>
      <c r="B3" s="51">
        <v>29385</v>
      </c>
      <c r="C3" s="75"/>
      <c r="D3" s="75"/>
      <c r="E3" s="75"/>
      <c r="F3" s="55"/>
      <c r="G3" s="55"/>
      <c r="H3" s="75"/>
      <c r="I3" s="75"/>
      <c r="J3" s="75"/>
      <c r="K3" s="75"/>
      <c r="L3" s="75"/>
      <c r="M3" s="55"/>
      <c r="N3" s="55"/>
      <c r="O3" s="75" t="s">
        <v>13</v>
      </c>
      <c r="P3" s="75"/>
      <c r="Q3" s="75" t="s">
        <v>82</v>
      </c>
      <c r="R3" s="75"/>
      <c r="S3" s="75"/>
      <c r="T3" s="7" t="s">
        <v>71</v>
      </c>
      <c r="U3" s="55"/>
      <c r="V3" s="55"/>
      <c r="W3" s="75"/>
      <c r="X3" s="75"/>
      <c r="Y3" s="75"/>
      <c r="Z3" s="75"/>
      <c r="AA3" s="75"/>
      <c r="AB3" s="55"/>
      <c r="AC3" s="55"/>
      <c r="AD3" s="75"/>
      <c r="AE3" s="75"/>
      <c r="AF3" s="75" t="s">
        <v>13</v>
      </c>
      <c r="AG3" s="75"/>
      <c r="AH3" s="75"/>
      <c r="AI3" s="55"/>
      <c r="AJ3" s="55"/>
      <c r="AK3" s="55"/>
      <c r="AL3" s="55"/>
      <c r="AM3" s="75"/>
      <c r="AN3" s="75"/>
      <c r="AO3" s="75"/>
      <c r="AP3" s="7" t="s">
        <v>71</v>
      </c>
      <c r="AQ3" s="55"/>
      <c r="AR3" s="55"/>
      <c r="AX3" s="55"/>
      <c r="AY3" s="55"/>
      <c r="AZ3" s="75"/>
      <c r="BA3" s="75"/>
      <c r="BB3" s="75"/>
      <c r="BC3" s="75" t="s">
        <v>13</v>
      </c>
      <c r="BE3" s="55"/>
      <c r="BF3" s="55"/>
      <c r="BL3" s="55"/>
      <c r="BM3" s="55"/>
      <c r="BN3" s="7" t="s">
        <v>71</v>
      </c>
      <c r="BO3" s="75"/>
      <c r="BP3" s="75"/>
      <c r="BQ3" s="75"/>
      <c r="BR3" s="75"/>
      <c r="BS3" s="115"/>
      <c r="BT3" s="55"/>
      <c r="BU3" s="55"/>
      <c r="BV3" s="75"/>
      <c r="BW3" s="75"/>
      <c r="BX3" s="75"/>
      <c r="BY3" s="75"/>
      <c r="BZ3" s="75"/>
      <c r="CA3" s="55"/>
      <c r="CB3" s="55"/>
      <c r="CC3" s="75"/>
      <c r="CD3" s="75"/>
      <c r="CE3" s="123"/>
      <c r="CF3" s="123"/>
      <c r="CG3" s="123"/>
      <c r="CH3" s="55"/>
      <c r="CI3" s="55"/>
      <c r="CJ3" s="75"/>
      <c r="CK3" s="75"/>
      <c r="CL3" s="75"/>
      <c r="CM3" s="75"/>
      <c r="CN3" s="75"/>
      <c r="CO3" s="55"/>
      <c r="CP3" s="55"/>
      <c r="CQ3" s="7" t="s">
        <v>71</v>
      </c>
      <c r="CR3" s="75"/>
      <c r="CS3" s="75"/>
      <c r="CT3" s="75"/>
      <c r="CU3" s="75"/>
      <c r="CV3" s="75"/>
      <c r="CW3" s="55"/>
      <c r="CX3" s="55"/>
      <c r="CY3" s="75"/>
      <c r="CZ3" s="75"/>
      <c r="DA3" s="75"/>
      <c r="DB3" s="75"/>
      <c r="DC3" s="75"/>
      <c r="DD3" s="55"/>
      <c r="DE3" s="55"/>
      <c r="DF3" s="75"/>
      <c r="DG3" s="75"/>
      <c r="DH3" s="75"/>
      <c r="DI3" s="75"/>
      <c r="DJ3" s="75"/>
      <c r="DK3" s="7" t="s">
        <v>71</v>
      </c>
      <c r="DL3" s="55"/>
      <c r="DM3" s="55"/>
      <c r="DN3" s="66"/>
      <c r="DO3" s="66"/>
      <c r="DP3" s="66"/>
      <c r="DQ3" s="66"/>
      <c r="DR3" s="66"/>
      <c r="DS3" s="71"/>
      <c r="DT3" s="71"/>
      <c r="DU3" s="134"/>
      <c r="DV3" s="75"/>
      <c r="DW3" s="75"/>
      <c r="DX3" s="75"/>
      <c r="DY3" s="75"/>
      <c r="DZ3" s="55"/>
      <c r="EA3" s="55"/>
      <c r="EB3" s="75"/>
      <c r="EC3" s="75"/>
      <c r="ED3" s="147"/>
      <c r="EE3" s="75"/>
      <c r="EF3" s="75"/>
      <c r="EG3" s="7" t="s">
        <v>71</v>
      </c>
      <c r="EH3" s="55"/>
      <c r="EI3" s="55"/>
      <c r="EJ3" s="150"/>
      <c r="EK3" s="75"/>
      <c r="EL3" s="115"/>
      <c r="EM3" s="75"/>
      <c r="EN3" s="75"/>
      <c r="EO3" s="55"/>
      <c r="EP3" s="55"/>
      <c r="EQ3" s="75"/>
      <c r="ER3" s="158"/>
      <c r="ES3" s="160"/>
      <c r="ET3" s="158"/>
      <c r="EU3" s="158"/>
      <c r="EV3" s="55"/>
      <c r="EW3" s="55"/>
    </row>
    <row r="4" spans="1:153" s="65" customFormat="1" ht="14.25" customHeight="1" thickTop="1">
      <c r="A4" s="7" t="s">
        <v>52</v>
      </c>
      <c r="B4" s="51">
        <v>29342</v>
      </c>
      <c r="C4" s="76"/>
      <c r="D4" s="76"/>
      <c r="E4" s="76"/>
      <c r="F4" s="56"/>
      <c r="G4" s="56"/>
      <c r="H4" s="76"/>
      <c r="I4" s="76"/>
      <c r="J4" s="76"/>
      <c r="K4" s="76"/>
      <c r="L4" s="76"/>
      <c r="M4" s="56"/>
      <c r="N4" s="56"/>
      <c r="O4" s="76"/>
      <c r="P4" s="76"/>
      <c r="Q4" s="76"/>
      <c r="R4" s="76" t="s">
        <v>82</v>
      </c>
      <c r="S4" s="76"/>
      <c r="T4" s="7" t="s">
        <v>52</v>
      </c>
      <c r="U4" s="56"/>
      <c r="V4" s="56"/>
      <c r="W4" s="76" t="s">
        <v>13</v>
      </c>
      <c r="X4" s="76"/>
      <c r="Y4" s="76"/>
      <c r="Z4" s="76"/>
      <c r="AA4" s="76"/>
      <c r="AB4" s="56"/>
      <c r="AC4" s="56"/>
      <c r="AD4" s="76"/>
      <c r="AE4" s="76"/>
      <c r="AF4" s="76"/>
      <c r="AG4" s="76"/>
      <c r="AH4" s="76"/>
      <c r="AI4" s="56"/>
      <c r="AJ4" s="56"/>
      <c r="AK4" s="56"/>
      <c r="AL4" s="56"/>
      <c r="AM4" s="76"/>
      <c r="AN4" s="76"/>
      <c r="AO4" s="76"/>
      <c r="AP4" s="7" t="s">
        <v>52</v>
      </c>
      <c r="AQ4" s="56"/>
      <c r="AR4" s="56"/>
      <c r="AX4" s="56"/>
      <c r="AY4" s="56"/>
      <c r="AZ4" s="76"/>
      <c r="BA4" s="76"/>
      <c r="BB4" s="76"/>
      <c r="BC4" s="76" t="s">
        <v>82</v>
      </c>
      <c r="BE4" s="56"/>
      <c r="BF4" s="56"/>
      <c r="BL4" s="56"/>
      <c r="BM4" s="56"/>
      <c r="BN4" s="7" t="s">
        <v>52</v>
      </c>
      <c r="BO4" s="76" t="s">
        <v>141</v>
      </c>
      <c r="BP4" s="76"/>
      <c r="BQ4" s="76"/>
      <c r="BR4" s="76"/>
      <c r="BS4" s="116"/>
      <c r="BT4" s="56"/>
      <c r="BU4" s="56"/>
      <c r="BV4" s="76"/>
      <c r="BW4" s="76"/>
      <c r="BX4" s="76"/>
      <c r="BY4" s="76" t="s">
        <v>13</v>
      </c>
      <c r="BZ4" s="76" t="s">
        <v>13</v>
      </c>
      <c r="CA4" s="56"/>
      <c r="CB4" s="56"/>
      <c r="CC4" s="76" t="s">
        <v>13</v>
      </c>
      <c r="CD4" s="76" t="s">
        <v>13</v>
      </c>
      <c r="CE4" s="124"/>
      <c r="CF4" s="124"/>
      <c r="CG4" s="124"/>
      <c r="CH4" s="56"/>
      <c r="CI4" s="56"/>
      <c r="CJ4" s="76"/>
      <c r="CK4" s="76" t="s">
        <v>13</v>
      </c>
      <c r="CL4" s="76"/>
      <c r="CM4" s="76"/>
      <c r="CN4" s="76"/>
      <c r="CO4" s="56"/>
      <c r="CP4" s="56"/>
      <c r="CQ4" s="7" t="s">
        <v>52</v>
      </c>
      <c r="CR4" s="76"/>
      <c r="CS4" s="76"/>
      <c r="CT4" s="76"/>
      <c r="CU4" s="76"/>
      <c r="CV4" s="76"/>
      <c r="CW4" s="56"/>
      <c r="CX4" s="56"/>
      <c r="CY4" s="76"/>
      <c r="CZ4" s="76"/>
      <c r="DA4" s="76"/>
      <c r="DB4" s="76"/>
      <c r="DC4" s="76"/>
      <c r="DD4" s="56"/>
      <c r="DE4" s="56"/>
      <c r="DF4" s="76"/>
      <c r="DG4" s="76"/>
      <c r="DH4" s="76"/>
      <c r="DI4" s="76"/>
      <c r="DJ4" s="76"/>
      <c r="DK4" s="7" t="s">
        <v>52</v>
      </c>
      <c r="DL4" s="56"/>
      <c r="DM4" s="56"/>
      <c r="DN4" s="67"/>
      <c r="DO4" s="67"/>
      <c r="DP4" s="67"/>
      <c r="DQ4" s="67"/>
      <c r="DR4" s="67"/>
      <c r="DS4" s="72"/>
      <c r="DT4" s="72"/>
      <c r="DU4" s="135"/>
      <c r="DV4" s="76"/>
      <c r="DW4" s="76"/>
      <c r="DX4" s="76"/>
      <c r="DY4" s="76"/>
      <c r="DZ4" s="56"/>
      <c r="EA4" s="56"/>
      <c r="EB4" s="76" t="s">
        <v>13</v>
      </c>
      <c r="EC4" s="76"/>
      <c r="ED4" s="148" t="s">
        <v>205</v>
      </c>
      <c r="EE4" s="76"/>
      <c r="EF4" s="76"/>
      <c r="EG4" s="7" t="s">
        <v>52</v>
      </c>
      <c r="EH4" s="56"/>
      <c r="EI4" s="56"/>
      <c r="EJ4" s="151" t="s">
        <v>206</v>
      </c>
      <c r="EK4" s="76"/>
      <c r="EL4" s="116"/>
      <c r="EM4" s="76"/>
      <c r="EN4" s="76"/>
      <c r="EO4" s="56"/>
      <c r="EP4" s="56"/>
      <c r="EQ4" s="76"/>
      <c r="ER4" s="159"/>
      <c r="ES4" s="131"/>
      <c r="ET4" s="159"/>
      <c r="EU4" s="159"/>
      <c r="EV4" s="56"/>
      <c r="EW4" s="56"/>
    </row>
    <row r="5" spans="1:153" s="65" customFormat="1" ht="14.25" customHeight="1">
      <c r="A5" s="7" t="s">
        <v>53</v>
      </c>
      <c r="B5" s="51">
        <v>29256</v>
      </c>
      <c r="C5" s="76"/>
      <c r="D5" s="76"/>
      <c r="E5" s="76"/>
      <c r="F5" s="56"/>
      <c r="G5" s="56"/>
      <c r="H5" s="76"/>
      <c r="I5" s="76"/>
      <c r="J5" s="76"/>
      <c r="K5" s="76"/>
      <c r="L5" s="76"/>
      <c r="M5" s="56"/>
      <c r="N5" s="56"/>
      <c r="O5" s="76"/>
      <c r="P5" s="76"/>
      <c r="Q5" s="76"/>
      <c r="R5" s="76"/>
      <c r="S5" s="76"/>
      <c r="T5" s="7" t="s">
        <v>53</v>
      </c>
      <c r="U5" s="56"/>
      <c r="V5" s="56"/>
      <c r="W5" s="76"/>
      <c r="X5" s="76"/>
      <c r="Y5" s="76"/>
      <c r="Z5" s="76"/>
      <c r="AA5" s="76"/>
      <c r="AB5" s="56"/>
      <c r="AC5" s="56"/>
      <c r="AD5" s="76"/>
      <c r="AE5" s="76"/>
      <c r="AF5" s="76"/>
      <c r="AG5" s="76"/>
      <c r="AH5" s="76"/>
      <c r="AI5" s="56"/>
      <c r="AJ5" s="56"/>
      <c r="AK5" s="56"/>
      <c r="AL5" s="56"/>
      <c r="AM5" s="76"/>
      <c r="AN5" s="76"/>
      <c r="AO5" s="76"/>
      <c r="AP5" s="7" t="s">
        <v>53</v>
      </c>
      <c r="AQ5" s="56"/>
      <c r="AR5" s="56"/>
      <c r="AX5" s="56"/>
      <c r="AY5" s="56"/>
      <c r="AZ5" s="76"/>
      <c r="BA5" s="76"/>
      <c r="BB5" s="76"/>
      <c r="BC5" s="76"/>
      <c r="BE5" s="56"/>
      <c r="BF5" s="56"/>
      <c r="BL5" s="56"/>
      <c r="BM5" s="56"/>
      <c r="BN5" s="7" t="s">
        <v>53</v>
      </c>
      <c r="BO5" s="76"/>
      <c r="BP5" s="76"/>
      <c r="BQ5" s="76"/>
      <c r="BR5" s="76"/>
      <c r="BS5" s="116"/>
      <c r="BT5" s="56"/>
      <c r="BU5" s="56"/>
      <c r="BV5" s="76"/>
      <c r="BW5" s="76"/>
      <c r="BX5" s="76"/>
      <c r="BY5" s="76"/>
      <c r="BZ5" s="76"/>
      <c r="CA5" s="56"/>
      <c r="CB5" s="56"/>
      <c r="CC5" s="76"/>
      <c r="CD5" s="76"/>
      <c r="CE5" s="124"/>
      <c r="CF5" s="124"/>
      <c r="CG5" s="124"/>
      <c r="CH5" s="56"/>
      <c r="CI5" s="56"/>
      <c r="CJ5" s="76"/>
      <c r="CK5" s="76"/>
      <c r="CL5" s="76"/>
      <c r="CM5" s="76"/>
      <c r="CN5" s="76"/>
      <c r="CO5" s="56"/>
      <c r="CP5" s="56"/>
      <c r="CQ5" s="7" t="s">
        <v>53</v>
      </c>
      <c r="CR5" s="76"/>
      <c r="CS5" s="76"/>
      <c r="CT5" s="76"/>
      <c r="CU5" s="76"/>
      <c r="CV5" s="76"/>
      <c r="CW5" s="56"/>
      <c r="CX5" s="56"/>
      <c r="CY5" s="76"/>
      <c r="CZ5" s="76"/>
      <c r="DA5" s="76"/>
      <c r="DB5" s="76"/>
      <c r="DC5" s="76"/>
      <c r="DD5" s="56"/>
      <c r="DE5" s="56"/>
      <c r="DF5" s="76"/>
      <c r="DG5" s="76"/>
      <c r="DH5" s="76"/>
      <c r="DI5" s="76"/>
      <c r="DJ5" s="76"/>
      <c r="DK5" s="7" t="s">
        <v>53</v>
      </c>
      <c r="DL5" s="56"/>
      <c r="DM5" s="56"/>
      <c r="DN5" s="67"/>
      <c r="DO5" s="67"/>
      <c r="DP5" s="67"/>
      <c r="DQ5" s="67"/>
      <c r="DR5" s="67"/>
      <c r="DS5" s="72"/>
      <c r="DT5" s="72"/>
      <c r="DU5" s="135"/>
      <c r="DV5" s="76"/>
      <c r="DW5" s="76"/>
      <c r="DX5" s="76"/>
      <c r="DY5" s="76"/>
      <c r="DZ5" s="56"/>
      <c r="EA5" s="56"/>
      <c r="EB5" s="76"/>
      <c r="EC5" s="76"/>
      <c r="ED5" s="148" t="s">
        <v>206</v>
      </c>
      <c r="EE5" s="76"/>
      <c r="EF5" s="76"/>
      <c r="EG5" s="7" t="s">
        <v>53</v>
      </c>
      <c r="EH5" s="56"/>
      <c r="EI5" s="56"/>
      <c r="EJ5" s="151" t="s">
        <v>207</v>
      </c>
      <c r="EK5" s="76"/>
      <c r="EL5" s="116"/>
      <c r="EM5" s="76"/>
      <c r="EN5" s="76"/>
      <c r="EO5" s="56"/>
      <c r="EP5" s="56"/>
      <c r="EQ5" s="76"/>
      <c r="ER5" s="159"/>
      <c r="ES5" s="131"/>
      <c r="ET5" s="159"/>
      <c r="EU5" s="159"/>
      <c r="EV5" s="56"/>
      <c r="EW5" s="56"/>
    </row>
    <row r="6" spans="1:153" s="65" customFormat="1" ht="14.25" customHeight="1">
      <c r="A6" s="7" t="s">
        <v>54</v>
      </c>
      <c r="B6" s="51">
        <v>29262</v>
      </c>
      <c r="C6" s="76"/>
      <c r="D6" s="76"/>
      <c r="E6" s="76"/>
      <c r="F6" s="56"/>
      <c r="G6" s="56"/>
      <c r="H6" s="76"/>
      <c r="I6" s="76"/>
      <c r="J6" s="76"/>
      <c r="K6" s="76"/>
      <c r="L6" s="76"/>
      <c r="M6" s="56"/>
      <c r="N6" s="56"/>
      <c r="O6" s="76" t="s">
        <v>13</v>
      </c>
      <c r="P6" s="76"/>
      <c r="Q6" s="76"/>
      <c r="R6" s="76"/>
      <c r="S6" s="76"/>
      <c r="T6" s="7" t="s">
        <v>54</v>
      </c>
      <c r="U6" s="56"/>
      <c r="V6" s="56"/>
      <c r="W6" s="76"/>
      <c r="X6" s="76"/>
      <c r="Y6" s="76"/>
      <c r="Z6" s="76"/>
      <c r="AA6" s="76"/>
      <c r="AB6" s="56"/>
      <c r="AC6" s="56"/>
      <c r="AD6" s="76"/>
      <c r="AE6" s="76" t="s">
        <v>83</v>
      </c>
      <c r="AF6" s="76"/>
      <c r="AG6" s="76"/>
      <c r="AH6" s="76"/>
      <c r="AI6" s="56"/>
      <c r="AJ6" s="56"/>
      <c r="AK6" s="56"/>
      <c r="AL6" s="56"/>
      <c r="AM6" s="76"/>
      <c r="AN6" s="76"/>
      <c r="AO6" s="76"/>
      <c r="AP6" s="7" t="s">
        <v>54</v>
      </c>
      <c r="AQ6" s="56"/>
      <c r="AR6" s="56"/>
      <c r="AX6" s="56"/>
      <c r="AY6" s="56"/>
      <c r="AZ6" s="76"/>
      <c r="BA6" s="76"/>
      <c r="BB6" s="76"/>
      <c r="BC6" s="76" t="s">
        <v>13</v>
      </c>
      <c r="BE6" s="56"/>
      <c r="BF6" s="56"/>
      <c r="BL6" s="56"/>
      <c r="BM6" s="56"/>
      <c r="BN6" s="7" t="s">
        <v>54</v>
      </c>
      <c r="BO6" s="76"/>
      <c r="BP6" s="76"/>
      <c r="BQ6" s="76" t="s">
        <v>82</v>
      </c>
      <c r="BR6" s="76" t="s">
        <v>82</v>
      </c>
      <c r="BS6" s="116"/>
      <c r="BT6" s="56"/>
      <c r="BU6" s="56"/>
      <c r="BV6" s="76"/>
      <c r="BW6" s="76"/>
      <c r="BX6" s="76" t="s">
        <v>13</v>
      </c>
      <c r="BY6" s="76"/>
      <c r="BZ6" s="76"/>
      <c r="CA6" s="56"/>
      <c r="CB6" s="56"/>
      <c r="CC6" s="76"/>
      <c r="CD6" s="76" t="s">
        <v>13</v>
      </c>
      <c r="CE6" s="124"/>
      <c r="CF6" s="124"/>
      <c r="CG6" s="124"/>
      <c r="CH6" s="56"/>
      <c r="CI6" s="56"/>
      <c r="CJ6" s="76" t="s">
        <v>13</v>
      </c>
      <c r="CK6" s="76"/>
      <c r="CL6" s="76" t="s">
        <v>13</v>
      </c>
      <c r="CM6" s="76"/>
      <c r="CN6" s="76" t="s">
        <v>166</v>
      </c>
      <c r="CO6" s="56"/>
      <c r="CP6" s="56"/>
      <c r="CQ6" s="7" t="s">
        <v>54</v>
      </c>
      <c r="CR6" s="76"/>
      <c r="CS6" s="76"/>
      <c r="CT6" s="76" t="s">
        <v>13</v>
      </c>
      <c r="CU6" s="76" t="s">
        <v>13</v>
      </c>
      <c r="CV6" s="76"/>
      <c r="CW6" s="56"/>
      <c r="CX6" s="56"/>
      <c r="CY6" s="76"/>
      <c r="CZ6" s="76"/>
      <c r="DA6" s="76"/>
      <c r="DB6" s="76"/>
      <c r="DC6" s="76"/>
      <c r="DD6" s="56"/>
      <c r="DE6" s="56"/>
      <c r="DF6" s="76"/>
      <c r="DG6" s="76"/>
      <c r="DH6" s="76" t="s">
        <v>13</v>
      </c>
      <c r="DI6" s="76"/>
      <c r="DJ6" s="76"/>
      <c r="DK6" s="7" t="s">
        <v>54</v>
      </c>
      <c r="DL6" s="56"/>
      <c r="DM6" s="56"/>
      <c r="DN6" s="67"/>
      <c r="DO6" s="67"/>
      <c r="DP6" s="67"/>
      <c r="DQ6" s="67"/>
      <c r="DR6" s="67"/>
      <c r="DS6" s="72"/>
      <c r="DT6" s="72"/>
      <c r="DU6" s="135"/>
      <c r="DV6" s="76"/>
      <c r="DW6" s="76"/>
      <c r="DX6" s="76"/>
      <c r="DY6" s="76"/>
      <c r="DZ6" s="56"/>
      <c r="EA6" s="56"/>
      <c r="EB6" s="76"/>
      <c r="EC6" s="76"/>
      <c r="ED6" s="148" t="s">
        <v>207</v>
      </c>
      <c r="EE6" s="76" t="s">
        <v>82</v>
      </c>
      <c r="EF6" s="76"/>
      <c r="EG6" s="7" t="s">
        <v>54</v>
      </c>
      <c r="EH6" s="56"/>
      <c r="EI6" s="56"/>
      <c r="EJ6" s="151"/>
      <c r="EK6" s="76" t="s">
        <v>82</v>
      </c>
      <c r="EL6" s="116" t="s">
        <v>13</v>
      </c>
      <c r="EM6" s="76"/>
      <c r="EN6" s="76" t="s">
        <v>13</v>
      </c>
      <c r="EO6" s="56"/>
      <c r="EP6" s="56"/>
      <c r="EQ6" s="76"/>
      <c r="ER6" s="159"/>
      <c r="ES6" s="131"/>
      <c r="ET6" s="159"/>
      <c r="EU6" s="159"/>
      <c r="EV6" s="56"/>
      <c r="EW6" s="56"/>
    </row>
    <row r="7" spans="1:153" s="65" customFormat="1" ht="14.25" customHeight="1">
      <c r="A7" s="7" t="s">
        <v>74</v>
      </c>
      <c r="B7" s="51">
        <v>29291</v>
      </c>
      <c r="C7" s="76"/>
      <c r="D7" s="76" t="s">
        <v>13</v>
      </c>
      <c r="E7" s="76" t="s">
        <v>13</v>
      </c>
      <c r="F7" s="56"/>
      <c r="G7" s="56"/>
      <c r="H7" s="76" t="s">
        <v>82</v>
      </c>
      <c r="I7" s="76"/>
      <c r="J7" s="76"/>
      <c r="K7" s="76"/>
      <c r="L7" s="76"/>
      <c r="M7" s="56"/>
      <c r="N7" s="56"/>
      <c r="O7" s="76"/>
      <c r="P7" s="76"/>
      <c r="Q7" s="76"/>
      <c r="R7" s="76"/>
      <c r="S7" s="76"/>
      <c r="T7" s="7" t="s">
        <v>74</v>
      </c>
      <c r="U7" s="56"/>
      <c r="V7" s="56"/>
      <c r="W7" s="76"/>
      <c r="X7" s="76"/>
      <c r="Y7" s="76"/>
      <c r="Z7" s="76"/>
      <c r="AA7" s="76"/>
      <c r="AB7" s="56"/>
      <c r="AC7" s="56"/>
      <c r="AD7" s="76"/>
      <c r="AE7" s="76"/>
      <c r="AF7" s="76"/>
      <c r="AG7" s="76"/>
      <c r="AH7" s="76"/>
      <c r="AI7" s="56"/>
      <c r="AJ7" s="56"/>
      <c r="AK7" s="56"/>
      <c r="AL7" s="56"/>
      <c r="AM7" s="76" t="s">
        <v>13</v>
      </c>
      <c r="AN7" s="76"/>
      <c r="AO7" s="76"/>
      <c r="AP7" s="7" t="s">
        <v>74</v>
      </c>
      <c r="AQ7" s="56"/>
      <c r="AR7" s="56"/>
      <c r="AX7" s="56"/>
      <c r="AY7" s="56"/>
      <c r="AZ7" s="76"/>
      <c r="BA7" s="76"/>
      <c r="BB7" s="76" t="s">
        <v>13</v>
      </c>
      <c r="BC7" s="76" t="s">
        <v>82</v>
      </c>
      <c r="BE7" s="56"/>
      <c r="BF7" s="56"/>
      <c r="BL7" s="56"/>
      <c r="BM7" s="56"/>
      <c r="BN7" s="7" t="s">
        <v>74</v>
      </c>
      <c r="BO7" s="76"/>
      <c r="BP7" s="76"/>
      <c r="BQ7" s="76"/>
      <c r="BR7" s="76" t="s">
        <v>13</v>
      </c>
      <c r="BS7" s="116"/>
      <c r="BT7" s="56"/>
      <c r="BU7" s="56"/>
      <c r="BV7" s="76"/>
      <c r="BW7" s="76"/>
      <c r="BX7" s="76"/>
      <c r="BY7" s="76"/>
      <c r="BZ7" s="76"/>
      <c r="CA7" s="56"/>
      <c r="CB7" s="56"/>
      <c r="CC7" s="76"/>
      <c r="CD7" s="76"/>
      <c r="CE7" s="124"/>
      <c r="CF7" s="124"/>
      <c r="CG7" s="124"/>
      <c r="CH7" s="56"/>
      <c r="CI7" s="56"/>
      <c r="CJ7" s="76" t="s">
        <v>13</v>
      </c>
      <c r="CK7" s="76"/>
      <c r="CL7" s="76"/>
      <c r="CM7" s="76" t="s">
        <v>82</v>
      </c>
      <c r="CN7" s="76" t="s">
        <v>13</v>
      </c>
      <c r="CO7" s="56"/>
      <c r="CP7" s="56"/>
      <c r="CQ7" s="7" t="s">
        <v>74</v>
      </c>
      <c r="CR7" s="76" t="s">
        <v>13</v>
      </c>
      <c r="CS7" s="76" t="s">
        <v>13</v>
      </c>
      <c r="CT7" s="76" t="s">
        <v>13</v>
      </c>
      <c r="CU7" s="76" t="s">
        <v>13</v>
      </c>
      <c r="CV7" s="76" t="s">
        <v>13</v>
      </c>
      <c r="CW7" s="56"/>
      <c r="CX7" s="56"/>
      <c r="CY7" s="76"/>
      <c r="CZ7" s="76"/>
      <c r="DA7" s="76" t="s">
        <v>13</v>
      </c>
      <c r="DB7" s="76"/>
      <c r="DC7" s="76"/>
      <c r="DD7" s="56"/>
      <c r="DE7" s="56"/>
      <c r="DF7" s="76" t="s">
        <v>13</v>
      </c>
      <c r="DG7" s="76"/>
      <c r="DH7" s="76"/>
      <c r="DI7" s="76" t="s">
        <v>13</v>
      </c>
      <c r="DJ7" s="76"/>
      <c r="DK7" s="7" t="s">
        <v>74</v>
      </c>
      <c r="DL7" s="56"/>
      <c r="DM7" s="56"/>
      <c r="DN7" s="67"/>
      <c r="DO7" s="67"/>
      <c r="DP7" s="67"/>
      <c r="DQ7" s="67"/>
      <c r="DR7" s="67"/>
      <c r="DS7" s="72"/>
      <c r="DT7" s="72"/>
      <c r="DU7" s="135"/>
      <c r="DV7" s="76" t="s">
        <v>13</v>
      </c>
      <c r="DW7" s="76"/>
      <c r="DX7" s="76" t="s">
        <v>13</v>
      </c>
      <c r="DY7" s="76"/>
      <c r="DZ7" s="56"/>
      <c r="EA7" s="56"/>
      <c r="EB7" s="76"/>
      <c r="EC7" s="76"/>
      <c r="ED7" s="148" t="s">
        <v>208</v>
      </c>
      <c r="EE7" s="76" t="s">
        <v>13</v>
      </c>
      <c r="EF7" s="76" t="s">
        <v>13</v>
      </c>
      <c r="EG7" s="7" t="s">
        <v>74</v>
      </c>
      <c r="EH7" s="56"/>
      <c r="EI7" s="56"/>
      <c r="EJ7" s="151" t="s">
        <v>205</v>
      </c>
      <c r="EK7" s="76"/>
      <c r="EL7" s="116"/>
      <c r="EM7" s="76"/>
      <c r="EN7" s="76"/>
      <c r="EO7" s="56"/>
      <c r="EP7" s="56"/>
      <c r="EQ7" s="76"/>
      <c r="ER7" s="159"/>
      <c r="ES7" s="131"/>
      <c r="ET7" s="159"/>
      <c r="EU7" s="159"/>
      <c r="EV7" s="56"/>
      <c r="EW7" s="56"/>
    </row>
    <row r="8" spans="1:153" s="65" customFormat="1" ht="14.25" customHeight="1">
      <c r="A8" s="7" t="s">
        <v>55</v>
      </c>
      <c r="B8" s="168">
        <v>29287</v>
      </c>
      <c r="C8" s="76"/>
      <c r="D8" s="76"/>
      <c r="E8" s="76"/>
      <c r="F8" s="56"/>
      <c r="G8" s="56"/>
      <c r="H8" s="76"/>
      <c r="I8" s="76"/>
      <c r="J8" s="76"/>
      <c r="K8" s="76"/>
      <c r="L8" s="76"/>
      <c r="M8" s="56"/>
      <c r="N8" s="56"/>
      <c r="O8" s="76"/>
      <c r="P8" s="76"/>
      <c r="Q8" s="76"/>
      <c r="R8" s="76"/>
      <c r="S8" s="76"/>
      <c r="T8" s="7" t="s">
        <v>55</v>
      </c>
      <c r="U8" s="56"/>
      <c r="V8" s="56"/>
      <c r="W8" s="76"/>
      <c r="X8" s="76"/>
      <c r="Y8" s="76"/>
      <c r="Z8" s="76"/>
      <c r="AA8" s="76"/>
      <c r="AB8" s="56"/>
      <c r="AC8" s="56"/>
      <c r="AD8" s="76"/>
      <c r="AE8" s="76"/>
      <c r="AF8" s="76"/>
      <c r="AG8" s="76"/>
      <c r="AH8" s="76"/>
      <c r="AI8" s="56"/>
      <c r="AJ8" s="56"/>
      <c r="AK8" s="56"/>
      <c r="AL8" s="56"/>
      <c r="AM8" s="76"/>
      <c r="AN8" s="76"/>
      <c r="AO8" s="76"/>
      <c r="AP8" s="7" t="s">
        <v>55</v>
      </c>
      <c r="AQ8" s="56"/>
      <c r="AR8" s="56"/>
      <c r="AX8" s="56"/>
      <c r="AY8" s="56"/>
      <c r="AZ8" s="76"/>
      <c r="BA8" s="76"/>
      <c r="BB8" s="76"/>
      <c r="BC8" s="76"/>
      <c r="BE8" s="56"/>
      <c r="BF8" s="56"/>
      <c r="BL8" s="56"/>
      <c r="BM8" s="56"/>
      <c r="BN8" s="7" t="s">
        <v>55</v>
      </c>
      <c r="BO8" s="76"/>
      <c r="BP8" s="76"/>
      <c r="BQ8" s="76"/>
      <c r="BR8" s="76"/>
      <c r="BS8" s="116"/>
      <c r="BT8" s="56"/>
      <c r="BU8" s="56"/>
      <c r="BV8" s="76"/>
      <c r="BW8" s="76"/>
      <c r="BX8" s="76"/>
      <c r="BY8" s="76"/>
      <c r="BZ8" s="76"/>
      <c r="CA8" s="56"/>
      <c r="CB8" s="56"/>
      <c r="CC8" s="76"/>
      <c r="CD8" s="76"/>
      <c r="CE8" s="124"/>
      <c r="CF8" s="124"/>
      <c r="CG8" s="124"/>
      <c r="CH8" s="56"/>
      <c r="CI8" s="56"/>
      <c r="CJ8" s="76"/>
      <c r="CK8" s="76"/>
      <c r="CL8" s="76"/>
      <c r="CM8" s="76"/>
      <c r="CN8" s="76"/>
      <c r="CO8" s="56"/>
      <c r="CP8" s="56"/>
      <c r="CQ8" s="7" t="s">
        <v>55</v>
      </c>
      <c r="CR8" s="76"/>
      <c r="CS8" s="76"/>
      <c r="CT8" s="76"/>
      <c r="CU8" s="76"/>
      <c r="CV8" s="76"/>
      <c r="CW8" s="56"/>
      <c r="CX8" s="56"/>
      <c r="CY8" s="76"/>
      <c r="CZ8" s="76"/>
      <c r="DA8" s="76"/>
      <c r="DB8" s="76"/>
      <c r="DC8" s="76"/>
      <c r="DD8" s="56"/>
      <c r="DE8" s="56"/>
      <c r="DF8" s="76"/>
      <c r="DG8" s="76"/>
      <c r="DH8" s="76"/>
      <c r="DI8" s="76"/>
      <c r="DJ8" s="76"/>
      <c r="DK8" s="7" t="s">
        <v>55</v>
      </c>
      <c r="DL8" s="56"/>
      <c r="DM8" s="56"/>
      <c r="DN8" s="67"/>
      <c r="DO8" s="67"/>
      <c r="DP8" s="67"/>
      <c r="DQ8" s="67"/>
      <c r="DR8" s="67"/>
      <c r="DS8" s="72"/>
      <c r="DT8" s="72"/>
      <c r="DU8" s="135"/>
      <c r="DV8" s="76"/>
      <c r="DW8" s="76"/>
      <c r="DX8" s="76"/>
      <c r="DY8" s="76"/>
      <c r="DZ8" s="56"/>
      <c r="EA8" s="56"/>
      <c r="EB8" s="76"/>
      <c r="EC8" s="76"/>
      <c r="ED8" s="148"/>
      <c r="EE8" s="76"/>
      <c r="EF8" s="76"/>
      <c r="EG8" s="7" t="s">
        <v>55</v>
      </c>
      <c r="EH8" s="56"/>
      <c r="EI8" s="56"/>
      <c r="EJ8" s="151" t="s">
        <v>212</v>
      </c>
      <c r="EK8" s="76"/>
      <c r="EL8" s="116"/>
      <c r="EM8" s="76"/>
      <c r="EN8" s="76"/>
      <c r="EO8" s="56"/>
      <c r="EP8" s="56"/>
      <c r="EQ8" s="76"/>
      <c r="ER8" s="159"/>
      <c r="ES8" s="131"/>
      <c r="ET8" s="159"/>
      <c r="EU8" s="159"/>
      <c r="EV8" s="56"/>
      <c r="EW8" s="56"/>
    </row>
    <row r="9" spans="1:153" s="65" customFormat="1" ht="14.25" customHeight="1">
      <c r="A9" s="7" t="s">
        <v>56</v>
      </c>
      <c r="B9" s="51">
        <v>29264</v>
      </c>
      <c r="C9" s="76"/>
      <c r="D9" s="76"/>
      <c r="E9" s="76"/>
      <c r="F9" s="56"/>
      <c r="G9" s="56"/>
      <c r="H9" s="76"/>
      <c r="I9" s="76"/>
      <c r="J9" s="76"/>
      <c r="K9" s="76"/>
      <c r="L9" s="76"/>
      <c r="M9" s="56"/>
      <c r="N9" s="56"/>
      <c r="O9" s="76"/>
      <c r="P9" s="76" t="s">
        <v>82</v>
      </c>
      <c r="Q9" s="76"/>
      <c r="R9" s="76"/>
      <c r="S9" s="76"/>
      <c r="T9" s="7" t="s">
        <v>56</v>
      </c>
      <c r="U9" s="56"/>
      <c r="V9" s="56"/>
      <c r="W9" s="76"/>
      <c r="X9" s="76"/>
      <c r="Y9" s="76"/>
      <c r="Z9" s="76"/>
      <c r="AA9" s="76"/>
      <c r="AB9" s="56"/>
      <c r="AC9" s="56"/>
      <c r="AD9" s="76"/>
      <c r="AE9" s="76"/>
      <c r="AF9" s="76"/>
      <c r="AG9" s="76"/>
      <c r="AH9" s="76"/>
      <c r="AI9" s="56"/>
      <c r="AJ9" s="56"/>
      <c r="AK9" s="56"/>
      <c r="AL9" s="56"/>
      <c r="AM9" s="76"/>
      <c r="AN9" s="76"/>
      <c r="AO9" s="76"/>
      <c r="AP9" s="7" t="s">
        <v>56</v>
      </c>
      <c r="AQ9" s="56"/>
      <c r="AR9" s="56"/>
      <c r="AX9" s="56"/>
      <c r="AY9" s="56"/>
      <c r="AZ9" s="76"/>
      <c r="BA9" s="76"/>
      <c r="BB9" s="76"/>
      <c r="BC9" s="76"/>
      <c r="BE9" s="56"/>
      <c r="BF9" s="56"/>
      <c r="BL9" s="56"/>
      <c r="BM9" s="56"/>
      <c r="BN9" s="7" t="s">
        <v>56</v>
      </c>
      <c r="BO9" s="76"/>
      <c r="BP9" s="76"/>
      <c r="BQ9" s="76"/>
      <c r="BR9" s="76"/>
      <c r="BS9" s="116"/>
      <c r="BT9" s="56"/>
      <c r="BU9" s="56"/>
      <c r="BV9" s="76"/>
      <c r="BW9" s="76"/>
      <c r="BX9" s="76" t="s">
        <v>13</v>
      </c>
      <c r="BY9" s="76"/>
      <c r="BZ9" s="76"/>
      <c r="CA9" s="56"/>
      <c r="CB9" s="56"/>
      <c r="CC9" s="76"/>
      <c r="CD9" s="76" t="s">
        <v>82</v>
      </c>
      <c r="CE9" s="124"/>
      <c r="CF9" s="124"/>
      <c r="CG9" s="124"/>
      <c r="CH9" s="56"/>
      <c r="CI9" s="56"/>
      <c r="CJ9" s="76"/>
      <c r="CK9" s="76"/>
      <c r="CL9" s="76" t="s">
        <v>83</v>
      </c>
      <c r="CM9" s="76" t="s">
        <v>82</v>
      </c>
      <c r="CN9" s="76"/>
      <c r="CO9" s="56"/>
      <c r="CP9" s="56"/>
      <c r="CQ9" s="7" t="s">
        <v>56</v>
      </c>
      <c r="CR9" s="76" t="s">
        <v>82</v>
      </c>
      <c r="CS9" s="76"/>
      <c r="CT9" s="76" t="s">
        <v>13</v>
      </c>
      <c r="CU9" s="76" t="s">
        <v>82</v>
      </c>
      <c r="CV9" s="76"/>
      <c r="CW9" s="56"/>
      <c r="CX9" s="56"/>
      <c r="CY9" s="76"/>
      <c r="CZ9" s="76"/>
      <c r="DA9" s="76"/>
      <c r="DB9" s="76"/>
      <c r="DC9" s="76"/>
      <c r="DD9" s="56"/>
      <c r="DE9" s="56"/>
      <c r="DF9" s="76"/>
      <c r="DG9" s="76"/>
      <c r="DH9" s="76"/>
      <c r="DI9" s="76"/>
      <c r="DJ9" s="76"/>
      <c r="DK9" s="7" t="s">
        <v>56</v>
      </c>
      <c r="DL9" s="56"/>
      <c r="DM9" s="56"/>
      <c r="DN9" s="67"/>
      <c r="DO9" s="67"/>
      <c r="DP9" s="67"/>
      <c r="DQ9" s="67"/>
      <c r="DR9" s="67"/>
      <c r="DS9" s="72"/>
      <c r="DT9" s="72"/>
      <c r="DU9" s="135"/>
      <c r="DV9" s="76"/>
      <c r="DW9" s="76"/>
      <c r="DX9" s="76"/>
      <c r="DY9" s="76"/>
      <c r="DZ9" s="56"/>
      <c r="EA9" s="56"/>
      <c r="EB9" s="76"/>
      <c r="EC9" s="76" t="s">
        <v>82</v>
      </c>
      <c r="ED9" s="148" t="s">
        <v>209</v>
      </c>
      <c r="EE9" s="76" t="s">
        <v>82</v>
      </c>
      <c r="EF9" s="76"/>
      <c r="EG9" s="7" t="s">
        <v>56</v>
      </c>
      <c r="EH9" s="56"/>
      <c r="EI9" s="56"/>
      <c r="EJ9" s="151" t="s">
        <v>213</v>
      </c>
      <c r="EK9" s="76"/>
      <c r="EL9" s="116"/>
      <c r="EM9" s="76" t="s">
        <v>13</v>
      </c>
      <c r="EN9" s="76" t="s">
        <v>13</v>
      </c>
      <c r="EO9" s="56"/>
      <c r="EP9" s="56"/>
      <c r="EQ9" s="76" t="s">
        <v>13</v>
      </c>
      <c r="ER9" s="159"/>
      <c r="ES9" s="131"/>
      <c r="ET9" s="159"/>
      <c r="EU9" s="159"/>
      <c r="EV9" s="56"/>
      <c r="EW9" s="56"/>
    </row>
    <row r="10" spans="1:153" s="65" customFormat="1" ht="14.25" customHeight="1">
      <c r="A10" s="7" t="s">
        <v>57</v>
      </c>
      <c r="B10" s="51">
        <v>29324</v>
      </c>
      <c r="C10" s="76"/>
      <c r="D10" s="76"/>
      <c r="E10" s="76"/>
      <c r="F10" s="56"/>
      <c r="G10" s="56"/>
      <c r="H10" s="76"/>
      <c r="I10" s="76"/>
      <c r="J10" s="76"/>
      <c r="K10" s="76"/>
      <c r="L10" s="76"/>
      <c r="M10" s="56"/>
      <c r="N10" s="56"/>
      <c r="O10" s="76"/>
      <c r="P10" s="76"/>
      <c r="Q10" s="76"/>
      <c r="R10" s="76" t="s">
        <v>82</v>
      </c>
      <c r="S10" s="76"/>
      <c r="T10" s="7" t="s">
        <v>57</v>
      </c>
      <c r="U10" s="56"/>
      <c r="V10" s="56"/>
      <c r="W10" s="76"/>
      <c r="X10" s="76"/>
      <c r="Y10" s="76"/>
      <c r="Z10" s="76"/>
      <c r="AA10" s="76"/>
      <c r="AB10" s="56"/>
      <c r="AC10" s="56"/>
      <c r="AD10" s="76"/>
      <c r="AE10" s="76"/>
      <c r="AF10" s="76"/>
      <c r="AG10" s="76"/>
      <c r="AH10" s="76"/>
      <c r="AI10" s="56"/>
      <c r="AJ10" s="56"/>
      <c r="AK10" s="56"/>
      <c r="AL10" s="56"/>
      <c r="AM10" s="76"/>
      <c r="AN10" s="76"/>
      <c r="AO10" s="76"/>
      <c r="AP10" s="7" t="s">
        <v>57</v>
      </c>
      <c r="AQ10" s="56"/>
      <c r="AR10" s="56"/>
      <c r="AX10" s="56"/>
      <c r="AY10" s="56"/>
      <c r="AZ10" s="76"/>
      <c r="BA10" s="76"/>
      <c r="BB10" s="76"/>
      <c r="BC10" s="76"/>
      <c r="BE10" s="56"/>
      <c r="BF10" s="56"/>
      <c r="BL10" s="56"/>
      <c r="BM10" s="56"/>
      <c r="BN10" s="7" t="s">
        <v>57</v>
      </c>
      <c r="BO10" s="76" t="s">
        <v>13</v>
      </c>
      <c r="BP10" s="76" t="s">
        <v>82</v>
      </c>
      <c r="BQ10" s="76"/>
      <c r="BR10" s="76"/>
      <c r="BS10" s="116"/>
      <c r="BT10" s="56"/>
      <c r="BU10" s="56"/>
      <c r="BV10" s="76"/>
      <c r="BW10" s="76"/>
      <c r="BX10" s="76"/>
      <c r="BY10" s="76"/>
      <c r="BZ10" s="76"/>
      <c r="CA10" s="56"/>
      <c r="CB10" s="56"/>
      <c r="CC10" s="76" t="s">
        <v>13</v>
      </c>
      <c r="CD10" s="76" t="s">
        <v>13</v>
      </c>
      <c r="CE10" s="124"/>
      <c r="CF10" s="124"/>
      <c r="CG10" s="124"/>
      <c r="CH10" s="56"/>
      <c r="CI10" s="56"/>
      <c r="CJ10" s="76"/>
      <c r="CK10" s="76"/>
      <c r="CL10" s="76"/>
      <c r="CM10" s="131"/>
      <c r="CN10" s="76"/>
      <c r="CO10" s="56"/>
      <c r="CP10" s="56"/>
      <c r="CQ10" s="7" t="s">
        <v>57</v>
      </c>
      <c r="CR10" s="76" t="s">
        <v>13</v>
      </c>
      <c r="CS10" s="76"/>
      <c r="CT10" s="76" t="s">
        <v>13</v>
      </c>
      <c r="CU10" s="76" t="s">
        <v>13</v>
      </c>
      <c r="CV10" s="76" t="s">
        <v>13</v>
      </c>
      <c r="CW10" s="56"/>
      <c r="CX10" s="56"/>
      <c r="CY10" s="76"/>
      <c r="CZ10" s="76"/>
      <c r="DA10" s="76"/>
      <c r="DB10" s="76"/>
      <c r="DC10" s="76"/>
      <c r="DD10" s="56"/>
      <c r="DE10" s="56"/>
      <c r="DF10" s="76"/>
      <c r="DG10" s="76"/>
      <c r="DH10" s="76"/>
      <c r="DI10" s="76"/>
      <c r="DJ10" s="76"/>
      <c r="DK10" s="7" t="s">
        <v>57</v>
      </c>
      <c r="DL10" s="56"/>
      <c r="DM10" s="56"/>
      <c r="DN10" s="67"/>
      <c r="DO10" s="67"/>
      <c r="DP10" s="67"/>
      <c r="DQ10" s="67"/>
      <c r="DR10" s="67"/>
      <c r="DS10" s="72"/>
      <c r="DT10" s="72"/>
      <c r="DU10" s="135"/>
      <c r="DV10" s="76"/>
      <c r="DW10" s="76"/>
      <c r="DX10" s="76"/>
      <c r="DY10" s="76" t="s">
        <v>82</v>
      </c>
      <c r="DZ10" s="56"/>
      <c r="EA10" s="56"/>
      <c r="EB10" s="76"/>
      <c r="EC10" s="76"/>
      <c r="ED10" s="148" t="s">
        <v>210</v>
      </c>
      <c r="EE10" s="76"/>
      <c r="EF10" s="76"/>
      <c r="EG10" s="7" t="s">
        <v>57</v>
      </c>
      <c r="EH10" s="56"/>
      <c r="EI10" s="56"/>
      <c r="EJ10" s="151" t="s">
        <v>207</v>
      </c>
      <c r="EK10" s="76"/>
      <c r="EL10" s="116"/>
      <c r="EM10" s="76"/>
      <c r="EN10" s="76"/>
      <c r="EO10" s="56"/>
      <c r="EP10" s="56"/>
      <c r="EQ10" s="76"/>
      <c r="ER10" s="159"/>
      <c r="ES10" s="131"/>
      <c r="ET10" s="159"/>
      <c r="EU10" s="159"/>
      <c r="EV10" s="56"/>
      <c r="EW10" s="56"/>
    </row>
    <row r="11" spans="1:153" s="65" customFormat="1" ht="14.25" customHeight="1">
      <c r="A11" s="7" t="s">
        <v>72</v>
      </c>
      <c r="B11" s="51">
        <v>29271</v>
      </c>
      <c r="C11" s="76"/>
      <c r="D11" s="76"/>
      <c r="E11" s="76"/>
      <c r="F11" s="56"/>
      <c r="G11" s="56"/>
      <c r="H11" s="76"/>
      <c r="I11" s="76"/>
      <c r="J11" s="76"/>
      <c r="K11" s="76"/>
      <c r="L11" s="76"/>
      <c r="M11" s="56"/>
      <c r="N11" s="56"/>
      <c r="O11" s="76"/>
      <c r="P11" s="76"/>
      <c r="Q11" s="76"/>
      <c r="R11" s="76"/>
      <c r="S11" s="76"/>
      <c r="T11" s="7" t="s">
        <v>72</v>
      </c>
      <c r="U11" s="56"/>
      <c r="V11" s="56"/>
      <c r="W11" s="76"/>
      <c r="X11" s="76"/>
      <c r="Y11" s="76"/>
      <c r="Z11" s="76"/>
      <c r="AA11" s="76"/>
      <c r="AB11" s="56"/>
      <c r="AC11" s="56"/>
      <c r="AD11" s="76"/>
      <c r="AE11" s="76"/>
      <c r="AF11" s="76"/>
      <c r="AG11" s="76"/>
      <c r="AH11" s="76"/>
      <c r="AI11" s="56"/>
      <c r="AJ11" s="56"/>
      <c r="AK11" s="56"/>
      <c r="AL11" s="56"/>
      <c r="AM11" s="76"/>
      <c r="AN11" s="76"/>
      <c r="AO11" s="76"/>
      <c r="AP11" s="7" t="s">
        <v>72</v>
      </c>
      <c r="AQ11" s="56"/>
      <c r="AR11" s="56"/>
      <c r="AX11" s="56"/>
      <c r="AY11" s="56"/>
      <c r="AZ11" s="76"/>
      <c r="BA11" s="76"/>
      <c r="BB11" s="76" t="s">
        <v>13</v>
      </c>
      <c r="BC11" s="76"/>
      <c r="BE11" s="56"/>
      <c r="BF11" s="56"/>
      <c r="BL11" s="56"/>
      <c r="BM11" s="56"/>
      <c r="BN11" s="7" t="s">
        <v>72</v>
      </c>
      <c r="BO11" s="76"/>
      <c r="BP11" s="76"/>
      <c r="BQ11" s="76"/>
      <c r="BR11" s="76"/>
      <c r="BS11" s="116"/>
      <c r="BT11" s="56"/>
      <c r="BU11" s="56"/>
      <c r="BV11" s="76"/>
      <c r="BW11" s="76"/>
      <c r="BX11" s="76"/>
      <c r="BY11" s="76"/>
      <c r="BZ11" s="76"/>
      <c r="CA11" s="56"/>
      <c r="CB11" s="56"/>
      <c r="CC11" s="76"/>
      <c r="CD11" s="76"/>
      <c r="CE11" s="124"/>
      <c r="CF11" s="124"/>
      <c r="CG11" s="124"/>
      <c r="CH11" s="56"/>
      <c r="CI11" s="56"/>
      <c r="CJ11" s="76"/>
      <c r="CK11" s="76"/>
      <c r="CL11" s="76"/>
      <c r="CM11" s="76"/>
      <c r="CN11" s="76"/>
      <c r="CO11" s="56"/>
      <c r="CP11" s="56"/>
      <c r="CQ11" s="7" t="s">
        <v>72</v>
      </c>
      <c r="CR11" s="76" t="s">
        <v>82</v>
      </c>
      <c r="CS11" s="76"/>
      <c r="CT11" s="76"/>
      <c r="CU11" s="76"/>
      <c r="CV11" s="76"/>
      <c r="CW11" s="56"/>
      <c r="CX11" s="56"/>
      <c r="CY11" s="76"/>
      <c r="CZ11" s="76"/>
      <c r="DA11" s="76"/>
      <c r="DB11" s="76"/>
      <c r="DC11" s="76"/>
      <c r="DD11" s="56"/>
      <c r="DE11" s="56"/>
      <c r="DF11" s="76"/>
      <c r="DG11" s="76"/>
      <c r="DH11" s="76"/>
      <c r="DI11" s="76"/>
      <c r="DJ11" s="76"/>
      <c r="DK11" s="7" t="s">
        <v>72</v>
      </c>
      <c r="DL11" s="56"/>
      <c r="DM11" s="56"/>
      <c r="DN11" s="67"/>
      <c r="DO11" s="67"/>
      <c r="DP11" s="67"/>
      <c r="DQ11" s="67"/>
      <c r="DR11" s="67"/>
      <c r="DS11" s="72"/>
      <c r="DT11" s="72"/>
      <c r="DU11" s="135"/>
      <c r="DV11" s="76"/>
      <c r="DW11" s="76"/>
      <c r="DX11" s="76"/>
      <c r="DY11" s="76"/>
      <c r="DZ11" s="56"/>
      <c r="EA11" s="56"/>
      <c r="EB11" s="76"/>
      <c r="EC11" s="76"/>
      <c r="ED11" s="148" t="s">
        <v>211</v>
      </c>
      <c r="EE11" s="76"/>
      <c r="EF11" s="76"/>
      <c r="EG11" s="7" t="s">
        <v>72</v>
      </c>
      <c r="EH11" s="56"/>
      <c r="EI11" s="56"/>
      <c r="EJ11" s="151" t="s">
        <v>207</v>
      </c>
      <c r="EK11" s="76"/>
      <c r="EL11" s="116"/>
      <c r="EM11" s="76"/>
      <c r="EN11" s="76"/>
      <c r="EO11" s="56"/>
      <c r="EP11" s="56"/>
      <c r="EQ11" s="76"/>
      <c r="ER11" s="159"/>
      <c r="ES11" s="131"/>
      <c r="ET11" s="159"/>
      <c r="EU11" s="159"/>
      <c r="EV11" s="56"/>
      <c r="EW11" s="56"/>
    </row>
    <row r="12" spans="1:153" s="65" customFormat="1" ht="14.25" customHeight="1">
      <c r="A12" s="7" t="s">
        <v>58</v>
      </c>
      <c r="B12" s="168">
        <v>29265</v>
      </c>
      <c r="C12" s="76" t="s">
        <v>13</v>
      </c>
      <c r="D12" s="76" t="s">
        <v>13</v>
      </c>
      <c r="E12" s="76" t="s">
        <v>13</v>
      </c>
      <c r="F12" s="56"/>
      <c r="G12" s="56"/>
      <c r="H12" s="76" t="s">
        <v>83</v>
      </c>
      <c r="I12" s="76"/>
      <c r="J12" s="76" t="s">
        <v>83</v>
      </c>
      <c r="K12" s="76"/>
      <c r="L12" s="76" t="s">
        <v>13</v>
      </c>
      <c r="M12" s="56"/>
      <c r="N12" s="56"/>
      <c r="O12" s="76" t="s">
        <v>13</v>
      </c>
      <c r="P12" s="76" t="s">
        <v>83</v>
      </c>
      <c r="Q12" s="76"/>
      <c r="R12" s="76" t="s">
        <v>82</v>
      </c>
      <c r="S12" s="76"/>
      <c r="T12" s="7" t="s">
        <v>58</v>
      </c>
      <c r="U12" s="56"/>
      <c r="V12" s="56"/>
      <c r="W12" s="76"/>
      <c r="X12" s="76" t="s">
        <v>13</v>
      </c>
      <c r="Y12" s="76" t="s">
        <v>13</v>
      </c>
      <c r="Z12" s="76"/>
      <c r="AA12" s="76"/>
      <c r="AB12" s="56"/>
      <c r="AC12" s="56"/>
      <c r="AD12" s="76"/>
      <c r="AE12" s="76"/>
      <c r="AF12" s="76"/>
      <c r="AG12" s="76" t="s">
        <v>13</v>
      </c>
      <c r="AH12" s="76"/>
      <c r="AI12" s="56"/>
      <c r="AJ12" s="56"/>
      <c r="AK12" s="56"/>
      <c r="AL12" s="56"/>
      <c r="AM12" s="76"/>
      <c r="AN12" s="76"/>
      <c r="AO12" s="76"/>
      <c r="AP12" s="7" t="s">
        <v>58</v>
      </c>
      <c r="AQ12" s="56"/>
      <c r="AR12" s="56"/>
      <c r="AX12" s="56"/>
      <c r="AY12" s="56"/>
      <c r="AZ12" s="76"/>
      <c r="BA12" s="76"/>
      <c r="BB12" s="76"/>
      <c r="BC12" s="76"/>
      <c r="BE12" s="56"/>
      <c r="BF12" s="56"/>
      <c r="BL12" s="56"/>
      <c r="BM12" s="56"/>
      <c r="BN12" s="7" t="s">
        <v>58</v>
      </c>
      <c r="BO12" s="76"/>
      <c r="BP12" s="76"/>
      <c r="BQ12" s="76"/>
      <c r="BR12" s="76"/>
      <c r="BS12" s="116"/>
      <c r="BT12" s="56"/>
      <c r="BU12" s="56"/>
      <c r="BV12" s="76"/>
      <c r="BW12" s="76"/>
      <c r="BX12" s="76"/>
      <c r="BY12" s="76"/>
      <c r="BZ12" s="76"/>
      <c r="CA12" s="56"/>
      <c r="CB12" s="56"/>
      <c r="CC12" s="76"/>
      <c r="CD12" s="76"/>
      <c r="CE12" s="124"/>
      <c r="CF12" s="124"/>
      <c r="CG12" s="124"/>
      <c r="CH12" s="56"/>
      <c r="CI12" s="56"/>
      <c r="CJ12" s="76"/>
      <c r="CK12" s="76"/>
      <c r="CL12" s="76"/>
      <c r="CM12" s="76" t="s">
        <v>13</v>
      </c>
      <c r="CN12" s="76"/>
      <c r="CO12" s="56"/>
      <c r="CP12" s="56"/>
      <c r="CQ12" s="7" t="s">
        <v>58</v>
      </c>
      <c r="CR12" s="76"/>
      <c r="CS12" s="76"/>
      <c r="CT12" s="76"/>
      <c r="CU12" s="76"/>
      <c r="CV12" s="76"/>
      <c r="CW12" s="56"/>
      <c r="CX12" s="56"/>
      <c r="CY12" s="76"/>
      <c r="CZ12" s="76"/>
      <c r="DA12" s="76"/>
      <c r="DB12" s="76"/>
      <c r="DC12" s="76"/>
      <c r="DD12" s="56"/>
      <c r="DE12" s="56"/>
      <c r="DF12" s="76"/>
      <c r="DG12" s="76"/>
      <c r="DH12" s="76" t="s">
        <v>13</v>
      </c>
      <c r="DI12" s="76"/>
      <c r="DJ12" s="76"/>
      <c r="DK12" s="7" t="s">
        <v>58</v>
      </c>
      <c r="DL12" s="56"/>
      <c r="DM12" s="56"/>
      <c r="DN12" s="67"/>
      <c r="DO12" s="67"/>
      <c r="DP12" s="67"/>
      <c r="DQ12" s="67"/>
      <c r="DR12" s="67"/>
      <c r="DS12" s="72"/>
      <c r="DT12" s="72"/>
      <c r="DU12" s="135"/>
      <c r="DV12" s="76"/>
      <c r="DW12" s="76"/>
      <c r="DX12" s="76"/>
      <c r="DY12" s="76"/>
      <c r="DZ12" s="56"/>
      <c r="EA12" s="56"/>
      <c r="EB12" s="76" t="s">
        <v>13</v>
      </c>
      <c r="EC12" s="76"/>
      <c r="ED12" s="148"/>
      <c r="EE12" s="76"/>
      <c r="EF12" s="76"/>
      <c r="EG12" s="7" t="s">
        <v>58</v>
      </c>
      <c r="EH12" s="56"/>
      <c r="EI12" s="56"/>
      <c r="EJ12" s="151" t="s">
        <v>214</v>
      </c>
      <c r="EK12" s="76"/>
      <c r="EL12" s="116"/>
      <c r="EM12" s="76"/>
      <c r="EN12" s="76"/>
      <c r="EO12" s="56"/>
      <c r="EP12" s="56"/>
      <c r="EQ12" s="76"/>
      <c r="ER12" s="159"/>
      <c r="ES12" s="131"/>
      <c r="ET12" s="159"/>
      <c r="EU12" s="159"/>
      <c r="EV12" s="56"/>
      <c r="EW12" s="56"/>
    </row>
    <row r="13" spans="1:153" s="65" customFormat="1" ht="14.25" customHeight="1">
      <c r="A13" s="7" t="s">
        <v>59</v>
      </c>
      <c r="B13" s="51">
        <v>29290</v>
      </c>
      <c r="C13" s="76"/>
      <c r="D13" s="76"/>
      <c r="E13" s="76"/>
      <c r="F13" s="56"/>
      <c r="G13" s="56"/>
      <c r="H13" s="76"/>
      <c r="I13" s="76"/>
      <c r="J13" s="76"/>
      <c r="K13" s="76"/>
      <c r="L13" s="76"/>
      <c r="M13" s="56"/>
      <c r="N13" s="56"/>
      <c r="O13" s="76"/>
      <c r="P13" s="76"/>
      <c r="Q13" s="76"/>
      <c r="R13" s="76"/>
      <c r="S13" s="76"/>
      <c r="T13" s="7" t="s">
        <v>59</v>
      </c>
      <c r="U13" s="56"/>
      <c r="V13" s="56"/>
      <c r="W13" s="76"/>
      <c r="X13" s="76"/>
      <c r="Y13" s="76"/>
      <c r="Z13" s="76"/>
      <c r="AA13" s="76"/>
      <c r="AB13" s="56"/>
      <c r="AC13" s="56"/>
      <c r="AD13" s="76"/>
      <c r="AE13" s="76"/>
      <c r="AF13" s="76"/>
      <c r="AG13" s="76" t="s">
        <v>13</v>
      </c>
      <c r="AH13" s="76"/>
      <c r="AI13" s="56"/>
      <c r="AJ13" s="56"/>
      <c r="AK13" s="56"/>
      <c r="AL13" s="56"/>
      <c r="AM13" s="76"/>
      <c r="AN13" s="76"/>
      <c r="AO13" s="76"/>
      <c r="AP13" s="7" t="s">
        <v>59</v>
      </c>
      <c r="AQ13" s="56"/>
      <c r="AR13" s="56"/>
      <c r="AX13" s="56"/>
      <c r="AY13" s="56"/>
      <c r="AZ13" s="76"/>
      <c r="BA13" s="76"/>
      <c r="BB13" s="76"/>
      <c r="BC13" s="76"/>
      <c r="BE13" s="56"/>
      <c r="BF13" s="56"/>
      <c r="BL13" s="56"/>
      <c r="BM13" s="56"/>
      <c r="BN13" s="7" t="s">
        <v>59</v>
      </c>
      <c r="BO13" s="76"/>
      <c r="BP13" s="76"/>
      <c r="BQ13" s="76"/>
      <c r="BR13" s="76"/>
      <c r="BS13" s="116"/>
      <c r="BT13" s="56"/>
      <c r="BU13" s="56"/>
      <c r="BV13" s="76"/>
      <c r="BW13" s="76"/>
      <c r="BX13" s="76"/>
      <c r="BY13" s="76"/>
      <c r="BZ13" s="76"/>
      <c r="CA13" s="56"/>
      <c r="CB13" s="56"/>
      <c r="CC13" s="76"/>
      <c r="CD13" s="76"/>
      <c r="CE13" s="124"/>
      <c r="CF13" s="124"/>
      <c r="CG13" s="124"/>
      <c r="CH13" s="56"/>
      <c r="CI13" s="56"/>
      <c r="CJ13" s="76"/>
      <c r="CK13" s="76"/>
      <c r="CL13" s="76"/>
      <c r="CM13" s="76"/>
      <c r="CN13" s="76"/>
      <c r="CO13" s="56"/>
      <c r="CP13" s="56"/>
      <c r="CQ13" s="7" t="s">
        <v>59</v>
      </c>
      <c r="CR13" s="76"/>
      <c r="CS13" s="76"/>
      <c r="CT13" s="76"/>
      <c r="CU13" s="76"/>
      <c r="CV13" s="76"/>
      <c r="CW13" s="56"/>
      <c r="CX13" s="56"/>
      <c r="CY13" s="76"/>
      <c r="CZ13" s="76"/>
      <c r="DA13" s="76"/>
      <c r="DB13" s="76"/>
      <c r="DC13" s="76"/>
      <c r="DD13" s="56"/>
      <c r="DE13" s="56"/>
      <c r="DF13" s="76"/>
      <c r="DG13" s="76"/>
      <c r="DH13" s="76"/>
      <c r="DI13" s="76"/>
      <c r="DJ13" s="76"/>
      <c r="DK13" s="7" t="s">
        <v>59</v>
      </c>
      <c r="DL13" s="56"/>
      <c r="DM13" s="56"/>
      <c r="DN13" s="67"/>
      <c r="DO13" s="67"/>
      <c r="DP13" s="67"/>
      <c r="DQ13" s="67"/>
      <c r="DR13" s="67"/>
      <c r="DS13" s="72"/>
      <c r="DT13" s="72"/>
      <c r="DU13" s="135"/>
      <c r="DV13" s="76"/>
      <c r="DW13" s="76"/>
      <c r="DX13" s="76"/>
      <c r="DY13" s="76"/>
      <c r="DZ13" s="56"/>
      <c r="EA13" s="56"/>
      <c r="EB13" s="76"/>
      <c r="EC13" s="76"/>
      <c r="ED13" s="148"/>
      <c r="EE13" s="76"/>
      <c r="EF13" s="76"/>
      <c r="EG13" s="7" t="s">
        <v>59</v>
      </c>
      <c r="EH13" s="56"/>
      <c r="EI13" s="56"/>
      <c r="EJ13" s="151"/>
      <c r="EK13" s="76"/>
      <c r="EL13" s="116" t="s">
        <v>13</v>
      </c>
      <c r="EM13" s="76" t="s">
        <v>13</v>
      </c>
      <c r="EN13" s="76" t="s">
        <v>13</v>
      </c>
      <c r="EO13" s="56"/>
      <c r="EP13" s="56"/>
      <c r="EQ13" s="76"/>
      <c r="ER13" s="159"/>
      <c r="ES13" s="131"/>
      <c r="ET13" s="159"/>
      <c r="EU13" s="159"/>
      <c r="EV13" s="56"/>
      <c r="EW13" s="56"/>
    </row>
    <row r="14" spans="1:153" s="65" customFormat="1" ht="14.25" customHeight="1">
      <c r="A14" s="7" t="s">
        <v>60</v>
      </c>
      <c r="B14" s="51">
        <v>29321</v>
      </c>
      <c r="C14" s="76"/>
      <c r="D14" s="76"/>
      <c r="E14" s="76"/>
      <c r="F14" s="56"/>
      <c r="G14" s="56"/>
      <c r="H14" s="76"/>
      <c r="I14" s="76"/>
      <c r="J14" s="76"/>
      <c r="K14" s="76"/>
      <c r="L14" s="76"/>
      <c r="M14" s="56"/>
      <c r="N14" s="56"/>
      <c r="O14" s="76" t="s">
        <v>13</v>
      </c>
      <c r="P14" s="76"/>
      <c r="Q14" s="76" t="s">
        <v>13</v>
      </c>
      <c r="R14" s="76"/>
      <c r="S14" s="76"/>
      <c r="T14" s="7" t="s">
        <v>60</v>
      </c>
      <c r="U14" s="56"/>
      <c r="V14" s="56"/>
      <c r="W14" s="76"/>
      <c r="X14" s="76" t="s">
        <v>82</v>
      </c>
      <c r="Y14" s="76"/>
      <c r="Z14" s="76"/>
      <c r="AA14" s="76" t="s">
        <v>13</v>
      </c>
      <c r="AB14" s="56"/>
      <c r="AC14" s="56"/>
      <c r="AD14" s="76" t="s">
        <v>13</v>
      </c>
      <c r="AE14" s="76"/>
      <c r="AF14" s="76"/>
      <c r="AG14" s="76" t="s">
        <v>13</v>
      </c>
      <c r="AH14" s="76"/>
      <c r="AI14" s="56"/>
      <c r="AJ14" s="56"/>
      <c r="AK14" s="56"/>
      <c r="AL14" s="56"/>
      <c r="AM14" s="76"/>
      <c r="AN14" s="76"/>
      <c r="AO14" s="76" t="s">
        <v>13</v>
      </c>
      <c r="AP14" s="7" t="s">
        <v>60</v>
      </c>
      <c r="AQ14" s="56"/>
      <c r="AR14" s="56"/>
      <c r="AX14" s="56"/>
      <c r="AY14" s="56"/>
      <c r="AZ14" s="76" t="s">
        <v>13</v>
      </c>
      <c r="BA14" s="76" t="s">
        <v>13</v>
      </c>
      <c r="BB14" s="76"/>
      <c r="BC14" s="76" t="s">
        <v>82</v>
      </c>
      <c r="BE14" s="56"/>
      <c r="BF14" s="56"/>
      <c r="BL14" s="56"/>
      <c r="BM14" s="56"/>
      <c r="BN14" s="7" t="s">
        <v>60</v>
      </c>
      <c r="BO14" s="76" t="s">
        <v>13</v>
      </c>
      <c r="BP14" s="76" t="s">
        <v>13</v>
      </c>
      <c r="BQ14" s="76" t="s">
        <v>13</v>
      </c>
      <c r="BR14" s="76"/>
      <c r="BS14" s="116"/>
      <c r="BT14" s="56"/>
      <c r="BU14" s="56"/>
      <c r="BV14" s="76"/>
      <c r="BW14" s="76"/>
      <c r="BX14" s="76" t="s">
        <v>82</v>
      </c>
      <c r="BY14" s="76" t="s">
        <v>13</v>
      </c>
      <c r="BZ14" s="76"/>
      <c r="CA14" s="56"/>
      <c r="CB14" s="56"/>
      <c r="CC14" s="76"/>
      <c r="CD14" s="76" t="s">
        <v>82</v>
      </c>
      <c r="CE14" s="124"/>
      <c r="CF14" s="124"/>
      <c r="CG14" s="124"/>
      <c r="CH14" s="56"/>
      <c r="CI14" s="56"/>
      <c r="CJ14" s="76"/>
      <c r="CK14" s="76"/>
      <c r="CL14" s="131"/>
      <c r="CM14" s="76" t="s">
        <v>13</v>
      </c>
      <c r="CN14" s="76"/>
      <c r="CO14" s="56"/>
      <c r="CP14" s="56"/>
      <c r="CQ14" s="7" t="s">
        <v>60</v>
      </c>
      <c r="CR14" s="76"/>
      <c r="CS14" s="76" t="s">
        <v>13</v>
      </c>
      <c r="CT14" s="76"/>
      <c r="CU14" s="76"/>
      <c r="CV14" s="76"/>
      <c r="CW14" s="56"/>
      <c r="CX14" s="56"/>
      <c r="CY14" s="76" t="s">
        <v>13</v>
      </c>
      <c r="CZ14" s="76"/>
      <c r="DA14" s="76"/>
      <c r="DB14" s="131"/>
      <c r="DC14" s="76"/>
      <c r="DD14" s="56"/>
      <c r="DE14" s="56"/>
      <c r="DF14" s="76"/>
      <c r="DG14" s="76" t="s">
        <v>13</v>
      </c>
      <c r="DH14" s="76"/>
      <c r="DI14" s="76"/>
      <c r="DJ14" s="76"/>
      <c r="DK14" s="7" t="s">
        <v>60</v>
      </c>
      <c r="DL14" s="56"/>
      <c r="DM14" s="56"/>
      <c r="DN14" s="67"/>
      <c r="DO14" s="67"/>
      <c r="DP14" s="67"/>
      <c r="DQ14" s="67"/>
      <c r="DR14" s="67"/>
      <c r="DS14" s="72"/>
      <c r="DT14" s="72"/>
      <c r="DU14" s="135"/>
      <c r="DV14" s="76"/>
      <c r="DW14" s="76"/>
      <c r="DX14" s="76"/>
      <c r="DY14" s="76" t="s">
        <v>82</v>
      </c>
      <c r="DZ14" s="56"/>
      <c r="EA14" s="56"/>
      <c r="EB14" s="76" t="s">
        <v>13</v>
      </c>
      <c r="EC14" s="76"/>
      <c r="ED14" s="148" t="s">
        <v>205</v>
      </c>
      <c r="EE14" s="76"/>
      <c r="EF14" s="131"/>
      <c r="EG14" s="7" t="s">
        <v>60</v>
      </c>
      <c r="EH14" s="56"/>
      <c r="EI14" s="56"/>
      <c r="EJ14" s="151" t="s">
        <v>215</v>
      </c>
      <c r="EK14" s="76"/>
      <c r="EL14" s="116" t="s">
        <v>13</v>
      </c>
      <c r="EM14" s="76"/>
      <c r="EN14" s="76"/>
      <c r="EO14" s="56"/>
      <c r="EP14" s="56"/>
      <c r="EQ14" s="76"/>
      <c r="ER14" s="159"/>
      <c r="ES14" s="131"/>
      <c r="ET14" s="159"/>
      <c r="EU14" s="159"/>
      <c r="EV14" s="56"/>
      <c r="EW14" s="56"/>
    </row>
    <row r="15" spans="1:153" s="65" customFormat="1" ht="14.25" customHeight="1">
      <c r="A15" s="7" t="s">
        <v>61</v>
      </c>
      <c r="B15" s="168">
        <v>29280</v>
      </c>
      <c r="C15" s="76"/>
      <c r="D15" s="76"/>
      <c r="E15" s="76"/>
      <c r="F15" s="56"/>
      <c r="G15" s="56"/>
      <c r="H15" s="76"/>
      <c r="I15" s="76"/>
      <c r="J15" s="76"/>
      <c r="K15" s="76"/>
      <c r="L15" s="76"/>
      <c r="M15" s="56"/>
      <c r="N15" s="56"/>
      <c r="O15" s="76"/>
      <c r="P15" s="76"/>
      <c r="Q15" s="76"/>
      <c r="R15" s="76"/>
      <c r="S15" s="76"/>
      <c r="T15" s="7" t="s">
        <v>61</v>
      </c>
      <c r="U15" s="56"/>
      <c r="V15" s="56"/>
      <c r="W15" s="76"/>
      <c r="X15" s="76"/>
      <c r="Y15" s="76"/>
      <c r="Z15" s="76"/>
      <c r="AA15" s="76"/>
      <c r="AB15" s="56"/>
      <c r="AC15" s="56"/>
      <c r="AD15" s="76"/>
      <c r="AE15" s="76"/>
      <c r="AF15" s="76"/>
      <c r="AG15" s="76"/>
      <c r="AH15" s="76"/>
      <c r="AI15" s="56"/>
      <c r="AJ15" s="56"/>
      <c r="AK15" s="56"/>
      <c r="AL15" s="56"/>
      <c r="AM15" s="76"/>
      <c r="AN15" s="76"/>
      <c r="AO15" s="76"/>
      <c r="AP15" s="7" t="s">
        <v>61</v>
      </c>
      <c r="AQ15" s="56"/>
      <c r="AR15" s="56"/>
      <c r="AX15" s="56"/>
      <c r="AY15" s="56"/>
      <c r="AZ15" s="76"/>
      <c r="BA15" s="76"/>
      <c r="BB15" s="76"/>
      <c r="BC15" s="76"/>
      <c r="BE15" s="56"/>
      <c r="BF15" s="56"/>
      <c r="BL15" s="56"/>
      <c r="BM15" s="56"/>
      <c r="BN15" s="7" t="s">
        <v>61</v>
      </c>
      <c r="BO15" s="76"/>
      <c r="BP15" s="76"/>
      <c r="BQ15" s="76"/>
      <c r="BR15" s="76"/>
      <c r="BS15" s="116"/>
      <c r="BT15" s="56"/>
      <c r="BU15" s="56"/>
      <c r="BV15" s="76"/>
      <c r="BW15" s="76"/>
      <c r="BX15" s="76" t="s">
        <v>13</v>
      </c>
      <c r="BY15" s="76"/>
      <c r="BZ15" s="76"/>
      <c r="CA15" s="56"/>
      <c r="CB15" s="56"/>
      <c r="CC15" s="76" t="s">
        <v>13</v>
      </c>
      <c r="CD15" s="76" t="s">
        <v>13</v>
      </c>
      <c r="CE15" s="124"/>
      <c r="CF15" s="124"/>
      <c r="CG15" s="124"/>
      <c r="CH15" s="56"/>
      <c r="CI15" s="56"/>
      <c r="CJ15" s="76"/>
      <c r="CK15" s="76"/>
      <c r="CL15" s="76"/>
      <c r="CM15" s="131"/>
      <c r="CN15" s="76"/>
      <c r="CO15" s="56"/>
      <c r="CP15" s="56"/>
      <c r="CQ15" s="7" t="s">
        <v>61</v>
      </c>
      <c r="CR15" s="76"/>
      <c r="CS15" s="76"/>
      <c r="CT15" s="76"/>
      <c r="CU15" s="76"/>
      <c r="CV15" s="76"/>
      <c r="CW15" s="56"/>
      <c r="CX15" s="56"/>
      <c r="CY15" s="76"/>
      <c r="CZ15" s="76"/>
      <c r="DA15" s="76"/>
      <c r="DB15" s="76"/>
      <c r="DC15" s="76"/>
      <c r="DD15" s="56"/>
      <c r="DE15" s="56"/>
      <c r="DF15" s="76"/>
      <c r="DG15" s="76"/>
      <c r="DH15" s="76"/>
      <c r="DI15" s="76"/>
      <c r="DJ15" s="76"/>
      <c r="DK15" s="7" t="s">
        <v>61</v>
      </c>
      <c r="DL15" s="56"/>
      <c r="DM15" s="56"/>
      <c r="DN15" s="67"/>
      <c r="DO15" s="67"/>
      <c r="DP15" s="67"/>
      <c r="DQ15" s="67"/>
      <c r="DR15" s="67"/>
      <c r="DS15" s="72"/>
      <c r="DT15" s="72"/>
      <c r="DU15" s="135"/>
      <c r="DV15" s="76"/>
      <c r="DW15" s="76"/>
      <c r="DX15" s="76"/>
      <c r="DY15" s="76"/>
      <c r="DZ15" s="56"/>
      <c r="EA15" s="56"/>
      <c r="EB15" s="76"/>
      <c r="EC15" s="76"/>
      <c r="ED15" s="148" t="s">
        <v>206</v>
      </c>
      <c r="EE15" s="76"/>
      <c r="EF15" s="76"/>
      <c r="EG15" s="7" t="s">
        <v>61</v>
      </c>
      <c r="EH15" s="56"/>
      <c r="EI15" s="56"/>
      <c r="EJ15" s="151" t="s">
        <v>214</v>
      </c>
      <c r="EK15" s="76"/>
      <c r="EL15" s="116"/>
      <c r="EM15" s="76"/>
      <c r="EN15" s="76"/>
      <c r="EO15" s="56"/>
      <c r="EP15" s="56"/>
      <c r="EQ15" s="76"/>
      <c r="ER15" s="159"/>
      <c r="ES15" s="131"/>
      <c r="ET15" s="159"/>
      <c r="EU15" s="159"/>
      <c r="EV15" s="56"/>
      <c r="EW15" s="56"/>
    </row>
    <row r="16" spans="1:153" s="65" customFormat="1" ht="14.25" customHeight="1">
      <c r="A16" s="7" t="s">
        <v>75</v>
      </c>
      <c r="B16" s="162" t="s">
        <v>221</v>
      </c>
      <c r="C16" s="76"/>
      <c r="D16" s="76"/>
      <c r="E16" s="76" t="s">
        <v>13</v>
      </c>
      <c r="F16" s="56"/>
      <c r="G16" s="56"/>
      <c r="H16" s="76" t="s">
        <v>13</v>
      </c>
      <c r="I16" s="76"/>
      <c r="J16" s="76"/>
      <c r="K16" s="76" t="s">
        <v>13</v>
      </c>
      <c r="L16" s="76"/>
      <c r="M16" s="56"/>
      <c r="N16" s="56"/>
      <c r="O16" s="76"/>
      <c r="P16" s="76"/>
      <c r="Q16" s="76"/>
      <c r="R16" s="76"/>
      <c r="S16" s="76"/>
      <c r="T16" s="7" t="s">
        <v>75</v>
      </c>
      <c r="U16" s="56"/>
      <c r="V16" s="56"/>
      <c r="W16" s="76"/>
      <c r="X16" s="76"/>
      <c r="Y16" s="76"/>
      <c r="Z16" s="76" t="s">
        <v>13</v>
      </c>
      <c r="AA16" s="76" t="s">
        <v>13</v>
      </c>
      <c r="AB16" s="56"/>
      <c r="AC16" s="56"/>
      <c r="AD16" s="76"/>
      <c r="AE16" s="76"/>
      <c r="AF16" s="76"/>
      <c r="AG16" s="76"/>
      <c r="AH16" s="103" t="s">
        <v>13</v>
      </c>
      <c r="AI16" s="56"/>
      <c r="AJ16" s="56"/>
      <c r="AK16" s="56"/>
      <c r="AL16" s="56"/>
      <c r="AM16" s="76" t="s">
        <v>13</v>
      </c>
      <c r="AN16" s="76"/>
      <c r="AO16" s="76"/>
      <c r="AP16" s="7" t="s">
        <v>75</v>
      </c>
      <c r="AQ16" s="56"/>
      <c r="AR16" s="56"/>
      <c r="AX16" s="56"/>
      <c r="AY16" s="56"/>
      <c r="AZ16" s="76"/>
      <c r="BA16" s="76"/>
      <c r="BB16" s="76" t="s">
        <v>13</v>
      </c>
      <c r="BC16" s="76"/>
      <c r="BE16" s="56"/>
      <c r="BF16" s="56"/>
      <c r="BL16" s="56"/>
      <c r="BM16" s="56"/>
      <c r="BN16" s="7" t="s">
        <v>75</v>
      </c>
      <c r="BO16" s="76"/>
      <c r="BP16" s="76"/>
      <c r="BQ16" s="76"/>
      <c r="BR16" s="76"/>
      <c r="BS16" s="116"/>
      <c r="BT16" s="56"/>
      <c r="BU16" s="56"/>
      <c r="BV16" s="76"/>
      <c r="BW16" s="76" t="s">
        <v>13</v>
      </c>
      <c r="BX16" s="76"/>
      <c r="BY16" s="76"/>
      <c r="BZ16" s="76"/>
      <c r="CA16" s="56"/>
      <c r="CB16" s="56"/>
      <c r="CC16" s="76"/>
      <c r="CD16" s="76"/>
      <c r="CE16" s="124"/>
      <c r="CF16" s="124"/>
      <c r="CG16" s="124"/>
      <c r="CH16" s="56"/>
      <c r="CI16" s="56"/>
      <c r="CJ16" s="76"/>
      <c r="CK16" s="76"/>
      <c r="CL16" s="76"/>
      <c r="CM16" s="76" t="s">
        <v>82</v>
      </c>
      <c r="CN16" s="76"/>
      <c r="CO16" s="56"/>
      <c r="CP16" s="56"/>
      <c r="CQ16" s="7" t="s">
        <v>75</v>
      </c>
      <c r="CR16" s="76"/>
      <c r="CS16" s="76"/>
      <c r="CT16" s="76"/>
      <c r="CU16" s="76"/>
      <c r="CV16" s="76"/>
      <c r="CW16" s="56"/>
      <c r="CX16" s="56"/>
      <c r="CY16" s="76" t="s">
        <v>13</v>
      </c>
      <c r="CZ16" s="76"/>
      <c r="DA16" s="76" t="s">
        <v>13</v>
      </c>
      <c r="DB16" s="76" t="s">
        <v>13</v>
      </c>
      <c r="DC16" s="76" t="s">
        <v>13</v>
      </c>
      <c r="DD16" s="56"/>
      <c r="DE16" s="56"/>
      <c r="DF16" s="76"/>
      <c r="DG16" s="76"/>
      <c r="DH16" s="76"/>
      <c r="DI16" s="76" t="s">
        <v>13</v>
      </c>
      <c r="DJ16" s="76"/>
      <c r="DK16" s="7" t="s">
        <v>75</v>
      </c>
      <c r="DL16" s="56"/>
      <c r="DM16" s="56"/>
      <c r="DN16" s="67"/>
      <c r="DO16" s="67"/>
      <c r="DP16" s="67"/>
      <c r="DQ16" s="67"/>
      <c r="DR16" s="67"/>
      <c r="DS16" s="72"/>
      <c r="DT16" s="72"/>
      <c r="DU16" s="135"/>
      <c r="DV16" s="76"/>
      <c r="DW16" s="76"/>
      <c r="DX16" s="76" t="s">
        <v>13</v>
      </c>
      <c r="DY16" s="76" t="s">
        <v>13</v>
      </c>
      <c r="DZ16" s="56"/>
      <c r="EA16" s="56"/>
      <c r="EB16" s="76"/>
      <c r="EC16" s="76" t="s">
        <v>82</v>
      </c>
      <c r="ED16" s="148" t="s">
        <v>207</v>
      </c>
      <c r="EE16" s="76"/>
      <c r="EF16" s="76"/>
      <c r="EG16" s="7" t="s">
        <v>75</v>
      </c>
      <c r="EH16" s="56"/>
      <c r="EI16" s="56"/>
      <c r="EJ16" s="151" t="s">
        <v>216</v>
      </c>
      <c r="EK16" s="76"/>
      <c r="EL16" s="116"/>
      <c r="EM16" s="76"/>
      <c r="EN16" s="76" t="s">
        <v>82</v>
      </c>
      <c r="EO16" s="56"/>
      <c r="EP16" s="56"/>
      <c r="EQ16" s="76" t="s">
        <v>13</v>
      </c>
      <c r="ER16" s="159"/>
      <c r="ES16" s="131"/>
      <c r="ET16" s="159"/>
      <c r="EU16" s="159"/>
      <c r="EV16" s="56"/>
      <c r="EW16" s="56"/>
    </row>
    <row r="17" spans="1:153" s="65" customFormat="1" ht="14.25" customHeight="1">
      <c r="A17" s="7" t="s">
        <v>62</v>
      </c>
      <c r="B17" s="51">
        <v>29254</v>
      </c>
      <c r="C17" s="76"/>
      <c r="D17" s="76"/>
      <c r="E17" s="76"/>
      <c r="F17" s="56"/>
      <c r="G17" s="56"/>
      <c r="H17" s="76"/>
      <c r="I17" s="76"/>
      <c r="J17" s="76"/>
      <c r="K17" s="76"/>
      <c r="L17" s="76"/>
      <c r="M17" s="56"/>
      <c r="N17" s="56"/>
      <c r="O17" s="76"/>
      <c r="P17" s="76"/>
      <c r="Q17" s="76"/>
      <c r="R17" s="76"/>
      <c r="S17" s="76"/>
      <c r="T17" s="7" t="s">
        <v>62</v>
      </c>
      <c r="U17" s="56"/>
      <c r="V17" s="56"/>
      <c r="W17" s="76"/>
      <c r="X17" s="76"/>
      <c r="Y17" s="76"/>
      <c r="Z17" s="76"/>
      <c r="AA17" s="76"/>
      <c r="AB17" s="56"/>
      <c r="AC17" s="56"/>
      <c r="AD17" s="76"/>
      <c r="AE17" s="76"/>
      <c r="AF17" s="76"/>
      <c r="AG17" s="76"/>
      <c r="AH17" s="76"/>
      <c r="AI17" s="56"/>
      <c r="AJ17" s="56"/>
      <c r="AK17" s="56"/>
      <c r="AL17" s="56"/>
      <c r="AM17" s="76"/>
      <c r="AN17" s="76"/>
      <c r="AO17" s="76"/>
      <c r="AP17" s="7" t="s">
        <v>62</v>
      </c>
      <c r="AQ17" s="56"/>
      <c r="AR17" s="56"/>
      <c r="AX17" s="56"/>
      <c r="AY17" s="56"/>
      <c r="AZ17" s="76"/>
      <c r="BA17" s="76"/>
      <c r="BB17" s="76"/>
      <c r="BC17" s="76"/>
      <c r="BE17" s="56"/>
      <c r="BF17" s="56"/>
      <c r="BL17" s="56"/>
      <c r="BM17" s="56"/>
      <c r="BN17" s="7" t="s">
        <v>62</v>
      </c>
      <c r="BO17" s="76"/>
      <c r="BP17" s="76" t="s">
        <v>82</v>
      </c>
      <c r="BQ17" s="76"/>
      <c r="BR17" s="76"/>
      <c r="BS17" s="116"/>
      <c r="BT17" s="56"/>
      <c r="BU17" s="56"/>
      <c r="BV17" s="76"/>
      <c r="BW17" s="76"/>
      <c r="BX17" s="76"/>
      <c r="BY17" s="76"/>
      <c r="BZ17" s="76"/>
      <c r="CA17" s="56"/>
      <c r="CB17" s="56"/>
      <c r="CC17" s="76"/>
      <c r="CD17" s="76"/>
      <c r="CE17" s="124"/>
      <c r="CF17" s="124"/>
      <c r="CG17" s="124"/>
      <c r="CH17" s="56"/>
      <c r="CI17" s="56"/>
      <c r="CJ17" s="76"/>
      <c r="CK17" s="76"/>
      <c r="CL17" s="76"/>
      <c r="CM17" s="131"/>
      <c r="CN17" s="76"/>
      <c r="CO17" s="56"/>
      <c r="CP17" s="56"/>
      <c r="CQ17" s="7" t="s">
        <v>62</v>
      </c>
      <c r="CR17" s="76" t="s">
        <v>13</v>
      </c>
      <c r="CS17" s="76"/>
      <c r="CT17" s="76"/>
      <c r="CU17" s="76"/>
      <c r="CV17" s="76"/>
      <c r="CW17" s="56"/>
      <c r="CX17" s="56"/>
      <c r="CY17" s="76"/>
      <c r="CZ17" s="76"/>
      <c r="DA17" s="76"/>
      <c r="DB17" s="76"/>
      <c r="DC17" s="76"/>
      <c r="DD17" s="56"/>
      <c r="DE17" s="56"/>
      <c r="DF17" s="76"/>
      <c r="DG17" s="76"/>
      <c r="DH17" s="76"/>
      <c r="DI17" s="76"/>
      <c r="DJ17" s="76"/>
      <c r="DK17" s="7" t="s">
        <v>62</v>
      </c>
      <c r="DL17" s="56"/>
      <c r="DM17" s="56"/>
      <c r="DN17" s="67"/>
      <c r="DO17" s="67"/>
      <c r="DP17" s="67"/>
      <c r="DQ17" s="67"/>
      <c r="DR17" s="67"/>
      <c r="DS17" s="72"/>
      <c r="DT17" s="72"/>
      <c r="DU17" s="135"/>
      <c r="DV17" s="76" t="s">
        <v>13</v>
      </c>
      <c r="DW17" s="76"/>
      <c r="DX17" s="76"/>
      <c r="DY17" s="76"/>
      <c r="DZ17" s="56"/>
      <c r="EA17" s="56"/>
      <c r="EB17" s="76"/>
      <c r="EC17" s="76"/>
      <c r="ED17" s="148" t="s">
        <v>208</v>
      </c>
      <c r="EE17" s="76"/>
      <c r="EF17" s="76"/>
      <c r="EG17" s="7" t="s">
        <v>62</v>
      </c>
      <c r="EH17" s="56"/>
      <c r="EI17" s="56"/>
      <c r="EJ17" s="151"/>
      <c r="EK17" s="76"/>
      <c r="EL17" s="116"/>
      <c r="EM17" s="76"/>
      <c r="EN17" s="76"/>
      <c r="EO17" s="56"/>
      <c r="EP17" s="56"/>
      <c r="EQ17" s="76"/>
      <c r="ER17" s="159"/>
      <c r="ES17" s="131"/>
      <c r="ET17" s="159"/>
      <c r="EU17" s="159"/>
      <c r="EV17" s="56"/>
      <c r="EW17" s="56"/>
    </row>
    <row r="18" spans="1:153" s="65" customFormat="1" ht="14.25" customHeight="1">
      <c r="A18" s="7" t="s">
        <v>73</v>
      </c>
      <c r="B18" s="168">
        <v>29260</v>
      </c>
      <c r="C18" s="76"/>
      <c r="D18" s="76"/>
      <c r="E18" s="76"/>
      <c r="F18" s="56"/>
      <c r="G18" s="56"/>
      <c r="H18" s="76"/>
      <c r="I18" s="76"/>
      <c r="J18" s="76"/>
      <c r="K18" s="76"/>
      <c r="L18" s="76"/>
      <c r="M18" s="56"/>
      <c r="N18" s="56"/>
      <c r="O18" s="76"/>
      <c r="P18" s="76"/>
      <c r="Q18" s="76"/>
      <c r="R18" s="76"/>
      <c r="S18" s="76"/>
      <c r="T18" s="7" t="s">
        <v>73</v>
      </c>
      <c r="U18" s="56"/>
      <c r="V18" s="56"/>
      <c r="W18" s="76"/>
      <c r="X18" s="76"/>
      <c r="Y18" s="76"/>
      <c r="Z18" s="76"/>
      <c r="AA18" s="76"/>
      <c r="AB18" s="56"/>
      <c r="AC18" s="56"/>
      <c r="AD18" s="76"/>
      <c r="AE18" s="76"/>
      <c r="AF18" s="76"/>
      <c r="AG18" s="76"/>
      <c r="AH18" s="76"/>
      <c r="AI18" s="56"/>
      <c r="AJ18" s="56"/>
      <c r="AK18" s="56"/>
      <c r="AL18" s="56"/>
      <c r="AM18" s="76"/>
      <c r="AN18" s="76"/>
      <c r="AO18" s="76"/>
      <c r="AP18" s="7" t="s">
        <v>73</v>
      </c>
      <c r="AQ18" s="56"/>
      <c r="AR18" s="56"/>
      <c r="AX18" s="56"/>
      <c r="AY18" s="56"/>
      <c r="AZ18" s="76"/>
      <c r="BA18" s="76"/>
      <c r="BB18" s="76"/>
      <c r="BC18" s="76"/>
      <c r="BE18" s="56"/>
      <c r="BF18" s="56"/>
      <c r="BL18" s="56"/>
      <c r="BM18" s="56"/>
      <c r="BN18" s="7" t="s">
        <v>73</v>
      </c>
      <c r="BO18" s="76"/>
      <c r="BP18" s="76" t="s">
        <v>13</v>
      </c>
      <c r="BQ18" s="76"/>
      <c r="BR18" s="76"/>
      <c r="BS18" s="116"/>
      <c r="BT18" s="56"/>
      <c r="BU18" s="56"/>
      <c r="BV18" s="76"/>
      <c r="BW18" s="76" t="s">
        <v>13</v>
      </c>
      <c r="BX18" s="76"/>
      <c r="BY18" s="76"/>
      <c r="BZ18" s="76"/>
      <c r="CA18" s="56"/>
      <c r="CB18" s="56"/>
      <c r="CC18" s="76"/>
      <c r="CD18" s="76"/>
      <c r="CE18" s="124"/>
      <c r="CF18" s="124"/>
      <c r="CG18" s="124"/>
      <c r="CH18" s="56"/>
      <c r="CI18" s="56"/>
      <c r="CJ18" s="76"/>
      <c r="CK18" s="76"/>
      <c r="CL18" s="76"/>
      <c r="CM18" s="76"/>
      <c r="CN18" s="76"/>
      <c r="CO18" s="56"/>
      <c r="CP18" s="56"/>
      <c r="CQ18" s="7" t="s">
        <v>73</v>
      </c>
      <c r="CR18" s="76"/>
      <c r="CS18" s="76"/>
      <c r="CT18" s="76"/>
      <c r="CU18" s="76"/>
      <c r="CV18" s="76"/>
      <c r="CW18" s="56"/>
      <c r="CX18" s="56"/>
      <c r="CY18" s="76"/>
      <c r="CZ18" s="76"/>
      <c r="DA18" s="76"/>
      <c r="DB18" s="76"/>
      <c r="DC18" s="76"/>
      <c r="DD18" s="56"/>
      <c r="DE18" s="56"/>
      <c r="DF18" s="76"/>
      <c r="DG18" s="76"/>
      <c r="DH18" s="76"/>
      <c r="DI18" s="76"/>
      <c r="DJ18" s="76"/>
      <c r="DK18" s="7" t="s">
        <v>73</v>
      </c>
      <c r="DL18" s="56"/>
      <c r="DM18" s="56"/>
      <c r="DN18" s="67"/>
      <c r="DO18" s="67"/>
      <c r="DP18" s="67"/>
      <c r="DQ18" s="67"/>
      <c r="DR18" s="67"/>
      <c r="DS18" s="72"/>
      <c r="DT18" s="72"/>
      <c r="DU18" s="135"/>
      <c r="DV18" s="76"/>
      <c r="DW18" s="76"/>
      <c r="DX18" s="76"/>
      <c r="DY18" s="76"/>
      <c r="DZ18" s="56"/>
      <c r="EA18" s="56"/>
      <c r="EB18" s="76"/>
      <c r="EC18" s="76"/>
      <c r="ED18" s="148"/>
      <c r="EE18" s="76"/>
      <c r="EF18" s="76"/>
      <c r="EG18" s="7" t="s">
        <v>73</v>
      </c>
      <c r="EH18" s="56"/>
      <c r="EI18" s="56"/>
      <c r="EJ18" s="151" t="s">
        <v>209</v>
      </c>
      <c r="EK18" s="76"/>
      <c r="EL18" s="116"/>
      <c r="EM18" s="76"/>
      <c r="EN18" s="76"/>
      <c r="EO18" s="56"/>
      <c r="EP18" s="56"/>
      <c r="EQ18" s="76"/>
      <c r="ER18" s="159"/>
      <c r="ES18" s="131"/>
      <c r="ET18" s="159"/>
      <c r="EU18" s="159"/>
      <c r="EV18" s="56"/>
      <c r="EW18" s="56"/>
    </row>
    <row r="19" spans="1:153" s="65" customFormat="1" ht="14.25" customHeight="1">
      <c r="A19" s="7" t="s">
        <v>63</v>
      </c>
      <c r="B19" s="51">
        <v>29312</v>
      </c>
      <c r="C19" s="76"/>
      <c r="D19" s="76"/>
      <c r="E19" s="76"/>
      <c r="F19" s="56"/>
      <c r="G19" s="56"/>
      <c r="H19" s="76"/>
      <c r="I19" s="76" t="s">
        <v>13</v>
      </c>
      <c r="J19" s="76" t="s">
        <v>13</v>
      </c>
      <c r="K19" s="76" t="s">
        <v>13</v>
      </c>
      <c r="L19" s="76" t="s">
        <v>13</v>
      </c>
      <c r="M19" s="56"/>
      <c r="N19" s="56"/>
      <c r="O19" s="76"/>
      <c r="P19" s="76"/>
      <c r="Q19" s="76"/>
      <c r="R19" s="76"/>
      <c r="S19" s="76"/>
      <c r="T19" s="7" t="s">
        <v>63</v>
      </c>
      <c r="U19" s="56"/>
      <c r="V19" s="56"/>
      <c r="W19" s="76"/>
      <c r="X19" s="76"/>
      <c r="Y19" s="76"/>
      <c r="Z19" s="76"/>
      <c r="AA19" s="76"/>
      <c r="AB19" s="56"/>
      <c r="AC19" s="56"/>
      <c r="AD19" s="76"/>
      <c r="AE19" s="76"/>
      <c r="AF19" s="76"/>
      <c r="AG19" s="76"/>
      <c r="AH19" s="76"/>
      <c r="AI19" s="56"/>
      <c r="AJ19" s="56"/>
      <c r="AK19" s="56"/>
      <c r="AL19" s="56"/>
      <c r="AM19" s="76"/>
      <c r="AN19" s="76"/>
      <c r="AO19" s="76"/>
      <c r="AP19" s="7" t="s">
        <v>63</v>
      </c>
      <c r="AQ19" s="56"/>
      <c r="AR19" s="56"/>
      <c r="AX19" s="56"/>
      <c r="AY19" s="56"/>
      <c r="AZ19" s="76"/>
      <c r="BA19" s="76"/>
      <c r="BB19" s="76"/>
      <c r="BC19" s="76" t="s">
        <v>13</v>
      </c>
      <c r="BE19" s="56"/>
      <c r="BF19" s="56"/>
      <c r="BL19" s="56"/>
      <c r="BM19" s="56"/>
      <c r="BN19" s="7" t="s">
        <v>63</v>
      </c>
      <c r="BO19" s="76"/>
      <c r="BP19" s="76"/>
      <c r="BQ19" s="76"/>
      <c r="BR19" s="76"/>
      <c r="BS19" s="116"/>
      <c r="BT19" s="56"/>
      <c r="BU19" s="56"/>
      <c r="BV19" s="76"/>
      <c r="BW19" s="76"/>
      <c r="BX19" s="76"/>
      <c r="BY19" s="76" t="s">
        <v>13</v>
      </c>
      <c r="BZ19" s="76"/>
      <c r="CA19" s="56"/>
      <c r="CB19" s="56"/>
      <c r="CC19" s="76"/>
      <c r="CD19" s="76" t="s">
        <v>13</v>
      </c>
      <c r="CE19" s="124"/>
      <c r="CF19" s="124"/>
      <c r="CG19" s="124"/>
      <c r="CH19" s="56"/>
      <c r="CI19" s="56"/>
      <c r="CJ19" s="76"/>
      <c r="CK19" s="76"/>
      <c r="CL19" s="76"/>
      <c r="CM19" s="76"/>
      <c r="CN19" s="76" t="s">
        <v>83</v>
      </c>
      <c r="CO19" s="56"/>
      <c r="CP19" s="56"/>
      <c r="CQ19" s="7" t="s">
        <v>63</v>
      </c>
      <c r="CR19" s="76"/>
      <c r="CS19" s="76"/>
      <c r="CT19" s="76"/>
      <c r="CU19" s="76"/>
      <c r="CV19" s="76"/>
      <c r="CW19" s="56"/>
      <c r="CX19" s="56"/>
      <c r="CY19" s="76"/>
      <c r="CZ19" s="76"/>
      <c r="DA19" s="76"/>
      <c r="DB19" s="76"/>
      <c r="DC19" s="76" t="s">
        <v>13</v>
      </c>
      <c r="DD19" s="56"/>
      <c r="DE19" s="56"/>
      <c r="DF19" s="76"/>
      <c r="DG19" s="76"/>
      <c r="DH19" s="76"/>
      <c r="DI19" s="76" t="s">
        <v>13</v>
      </c>
      <c r="DJ19" s="76"/>
      <c r="DK19" s="7" t="s">
        <v>63</v>
      </c>
      <c r="DL19" s="56"/>
      <c r="DM19" s="56"/>
      <c r="DN19" s="67"/>
      <c r="DO19" s="67"/>
      <c r="DP19" s="67"/>
      <c r="DQ19" s="67"/>
      <c r="DR19" s="67"/>
      <c r="DS19" s="72"/>
      <c r="DT19" s="72"/>
      <c r="DU19" s="135"/>
      <c r="DV19" s="76"/>
      <c r="DW19" s="76"/>
      <c r="DX19" s="76"/>
      <c r="DY19" s="76"/>
      <c r="DZ19" s="56"/>
      <c r="EA19" s="56"/>
      <c r="EB19" s="76"/>
      <c r="EC19" s="76"/>
      <c r="ED19" s="148" t="s">
        <v>209</v>
      </c>
      <c r="EE19" s="76" t="s">
        <v>13</v>
      </c>
      <c r="EF19" s="76"/>
      <c r="EG19" s="7" t="s">
        <v>63</v>
      </c>
      <c r="EH19" s="56"/>
      <c r="EI19" s="56"/>
      <c r="EJ19" s="151" t="s">
        <v>210</v>
      </c>
      <c r="EK19" s="76"/>
      <c r="EL19" s="116" t="s">
        <v>13</v>
      </c>
      <c r="EM19" s="76"/>
      <c r="EN19" s="76" t="s">
        <v>82</v>
      </c>
      <c r="EO19" s="56"/>
      <c r="EP19" s="56"/>
      <c r="EQ19" s="76" t="s">
        <v>13</v>
      </c>
      <c r="ER19" s="159"/>
      <c r="ES19" s="131"/>
      <c r="ET19" s="159"/>
      <c r="EU19" s="159"/>
      <c r="EV19" s="56"/>
      <c r="EW19" s="56"/>
    </row>
    <row r="20" spans="1:153" s="65" customFormat="1" ht="14.25" customHeight="1">
      <c r="A20" s="7" t="s">
        <v>64</v>
      </c>
      <c r="B20" s="51">
        <v>29303</v>
      </c>
      <c r="C20" s="76"/>
      <c r="D20" s="76"/>
      <c r="E20" s="76"/>
      <c r="F20" s="56"/>
      <c r="G20" s="56"/>
      <c r="H20" s="76"/>
      <c r="I20" s="76" t="s">
        <v>82</v>
      </c>
      <c r="J20" s="76" t="s">
        <v>82</v>
      </c>
      <c r="K20" s="76"/>
      <c r="L20" s="76"/>
      <c r="M20" s="56"/>
      <c r="N20" s="56"/>
      <c r="O20" s="76"/>
      <c r="P20" s="76"/>
      <c r="Q20" s="76"/>
      <c r="R20" s="76" t="s">
        <v>82</v>
      </c>
      <c r="S20" s="76"/>
      <c r="T20" s="7" t="s">
        <v>64</v>
      </c>
      <c r="U20" s="56"/>
      <c r="V20" s="56"/>
      <c r="W20" s="76"/>
      <c r="X20" s="76"/>
      <c r="Y20" s="76"/>
      <c r="Z20" s="76"/>
      <c r="AA20" s="76"/>
      <c r="AB20" s="56"/>
      <c r="AC20" s="56"/>
      <c r="AD20" s="76"/>
      <c r="AE20" s="76"/>
      <c r="AF20" s="76"/>
      <c r="AG20" s="76"/>
      <c r="AH20" s="76"/>
      <c r="AI20" s="56"/>
      <c r="AJ20" s="56"/>
      <c r="AK20" s="56"/>
      <c r="AL20" s="56"/>
      <c r="AM20" s="76"/>
      <c r="AN20" s="76"/>
      <c r="AO20" s="76"/>
      <c r="AP20" s="7" t="s">
        <v>64</v>
      </c>
      <c r="AQ20" s="56"/>
      <c r="AR20" s="56"/>
      <c r="AX20" s="56"/>
      <c r="AY20" s="56"/>
      <c r="AZ20" s="76"/>
      <c r="BA20" s="76"/>
      <c r="BB20" s="76"/>
      <c r="BC20" s="76" t="s">
        <v>82</v>
      </c>
      <c r="BE20" s="56"/>
      <c r="BF20" s="56"/>
      <c r="BL20" s="56"/>
      <c r="BM20" s="56"/>
      <c r="BN20" s="7" t="s">
        <v>64</v>
      </c>
      <c r="BO20" s="76"/>
      <c r="BP20" s="76"/>
      <c r="BQ20" s="76" t="s">
        <v>82</v>
      </c>
      <c r="BR20" s="76"/>
      <c r="BS20" s="116"/>
      <c r="BT20" s="56"/>
      <c r="BU20" s="56"/>
      <c r="BV20" s="76"/>
      <c r="BW20" s="76"/>
      <c r="BX20" s="76"/>
      <c r="BY20" s="76"/>
      <c r="BZ20" s="76"/>
      <c r="CA20" s="56"/>
      <c r="CB20" s="56"/>
      <c r="CC20" s="76"/>
      <c r="CD20" s="76"/>
      <c r="CE20" s="124"/>
      <c r="CF20" s="124"/>
      <c r="CG20" s="124"/>
      <c r="CH20" s="56"/>
      <c r="CI20" s="56"/>
      <c r="CJ20" s="76"/>
      <c r="CK20" s="76"/>
      <c r="CL20" s="76"/>
      <c r="CM20" s="76"/>
      <c r="CN20" s="76" t="s">
        <v>13</v>
      </c>
      <c r="CO20" s="56"/>
      <c r="CP20" s="56"/>
      <c r="CQ20" s="7" t="s">
        <v>64</v>
      </c>
      <c r="CR20" s="76"/>
      <c r="CS20" s="76"/>
      <c r="CT20" s="76" t="s">
        <v>13</v>
      </c>
      <c r="CU20" s="76" t="s">
        <v>82</v>
      </c>
      <c r="CV20" s="76" t="s">
        <v>13</v>
      </c>
      <c r="CW20" s="56"/>
      <c r="CX20" s="56"/>
      <c r="CY20" s="76"/>
      <c r="CZ20" s="76"/>
      <c r="DA20" s="76" t="s">
        <v>13</v>
      </c>
      <c r="DB20" s="76" t="s">
        <v>82</v>
      </c>
      <c r="DC20" s="76" t="s">
        <v>13</v>
      </c>
      <c r="DD20" s="56"/>
      <c r="DE20" s="56"/>
      <c r="DF20" s="76"/>
      <c r="DG20" s="76"/>
      <c r="DH20" s="76"/>
      <c r="DI20" s="76"/>
      <c r="DJ20" s="76"/>
      <c r="DK20" s="7" t="s">
        <v>64</v>
      </c>
      <c r="DL20" s="56"/>
      <c r="DM20" s="56"/>
      <c r="DN20" s="67"/>
      <c r="DO20" s="67"/>
      <c r="DP20" s="67"/>
      <c r="DQ20" s="67"/>
      <c r="DR20" s="67"/>
      <c r="DS20" s="72"/>
      <c r="DT20" s="72"/>
      <c r="DU20" s="135"/>
      <c r="DV20" s="131"/>
      <c r="DW20" s="76"/>
      <c r="DX20" s="76"/>
      <c r="DY20" s="76" t="s">
        <v>13</v>
      </c>
      <c r="DZ20" s="56"/>
      <c r="EA20" s="56"/>
      <c r="EB20" s="76"/>
      <c r="EC20" s="76"/>
      <c r="ED20" s="148" t="s">
        <v>210</v>
      </c>
      <c r="EE20" s="76"/>
      <c r="EF20" s="76"/>
      <c r="EG20" s="7" t="s">
        <v>64</v>
      </c>
      <c r="EH20" s="56"/>
      <c r="EI20" s="56"/>
      <c r="EJ20" s="151" t="s">
        <v>211</v>
      </c>
      <c r="EK20" s="76"/>
      <c r="EL20" s="116"/>
      <c r="EM20" s="76"/>
      <c r="EN20" s="76" t="s">
        <v>13</v>
      </c>
      <c r="EO20" s="56"/>
      <c r="EP20" s="56"/>
      <c r="EQ20" s="76" t="s">
        <v>13</v>
      </c>
      <c r="ER20" s="159"/>
      <c r="ES20" s="131"/>
      <c r="ET20" s="159"/>
      <c r="EU20" s="159"/>
      <c r="EV20" s="56"/>
      <c r="EW20" s="56"/>
    </row>
    <row r="21" spans="1:153" s="65" customFormat="1" ht="14.25" customHeight="1">
      <c r="A21" s="7" t="s">
        <v>65</v>
      </c>
      <c r="B21" s="168">
        <v>29282</v>
      </c>
      <c r="C21" s="76"/>
      <c r="D21" s="76"/>
      <c r="E21" s="76"/>
      <c r="F21" s="56"/>
      <c r="G21" s="56"/>
      <c r="H21" s="76"/>
      <c r="I21" s="76"/>
      <c r="J21" s="76"/>
      <c r="K21" s="76"/>
      <c r="L21" s="76"/>
      <c r="M21" s="56"/>
      <c r="N21" s="56"/>
      <c r="O21" s="76"/>
      <c r="P21" s="76"/>
      <c r="Q21" s="76"/>
      <c r="R21" s="76"/>
      <c r="S21" s="76"/>
      <c r="T21" s="7" t="s">
        <v>65</v>
      </c>
      <c r="U21" s="56"/>
      <c r="V21" s="56"/>
      <c r="W21" s="76"/>
      <c r="X21" s="76"/>
      <c r="Y21" s="76"/>
      <c r="Z21" s="76"/>
      <c r="AA21" s="76"/>
      <c r="AB21" s="56"/>
      <c r="AC21" s="56"/>
      <c r="AD21" s="76"/>
      <c r="AE21" s="76"/>
      <c r="AF21" s="76"/>
      <c r="AG21" s="76"/>
      <c r="AH21" s="76"/>
      <c r="AI21" s="56"/>
      <c r="AJ21" s="56"/>
      <c r="AK21" s="56"/>
      <c r="AL21" s="56"/>
      <c r="AM21" s="76"/>
      <c r="AN21" s="76"/>
      <c r="AO21" s="76"/>
      <c r="AP21" s="7" t="s">
        <v>65</v>
      </c>
      <c r="AQ21" s="56"/>
      <c r="AR21" s="56"/>
      <c r="AX21" s="56"/>
      <c r="AY21" s="56"/>
      <c r="AZ21" s="76"/>
      <c r="BA21" s="76"/>
      <c r="BB21" s="76"/>
      <c r="BC21" s="76"/>
      <c r="BE21" s="56"/>
      <c r="BF21" s="56"/>
      <c r="BL21" s="56"/>
      <c r="BM21" s="56"/>
      <c r="BN21" s="7" t="s">
        <v>65</v>
      </c>
      <c r="BO21" s="76" t="s">
        <v>13</v>
      </c>
      <c r="BP21" s="76"/>
      <c r="BQ21" s="76"/>
      <c r="BR21" s="76"/>
      <c r="BS21" s="116"/>
      <c r="BT21" s="56"/>
      <c r="BU21" s="56"/>
      <c r="BV21" s="76"/>
      <c r="BW21" s="76"/>
      <c r="BX21" s="76" t="s">
        <v>13</v>
      </c>
      <c r="BY21" s="76"/>
      <c r="BZ21" s="76"/>
      <c r="CA21" s="56"/>
      <c r="CB21" s="56"/>
      <c r="CC21" s="76"/>
      <c r="CD21" s="76" t="s">
        <v>82</v>
      </c>
      <c r="CE21" s="124"/>
      <c r="CF21" s="124"/>
      <c r="CG21" s="124"/>
      <c r="CH21" s="56"/>
      <c r="CI21" s="56"/>
      <c r="CJ21" s="76"/>
      <c r="CK21" s="76"/>
      <c r="CL21" s="76"/>
      <c r="CM21" s="76" t="s">
        <v>82</v>
      </c>
      <c r="CN21" s="76"/>
      <c r="CO21" s="56"/>
      <c r="CP21" s="56"/>
      <c r="CQ21" s="7" t="s">
        <v>65</v>
      </c>
      <c r="CR21" s="76"/>
      <c r="CS21" s="76"/>
      <c r="CT21" s="76"/>
      <c r="CU21" s="76"/>
      <c r="CV21" s="76"/>
      <c r="CW21" s="56"/>
      <c r="CX21" s="56"/>
      <c r="CY21" s="76"/>
      <c r="CZ21" s="76"/>
      <c r="DA21" s="76"/>
      <c r="DB21" s="76"/>
      <c r="DC21" s="76"/>
      <c r="DD21" s="56"/>
      <c r="DE21" s="56"/>
      <c r="DF21" s="76"/>
      <c r="DG21" s="76"/>
      <c r="DH21" s="76"/>
      <c r="DI21" s="76"/>
      <c r="DJ21" s="76"/>
      <c r="DK21" s="7" t="s">
        <v>65</v>
      </c>
      <c r="DL21" s="56"/>
      <c r="DM21" s="56"/>
      <c r="DN21" s="67"/>
      <c r="DO21" s="67"/>
      <c r="DP21" s="67"/>
      <c r="DQ21" s="67"/>
      <c r="DR21" s="67"/>
      <c r="DS21" s="72"/>
      <c r="DT21" s="72"/>
      <c r="DU21" s="135"/>
      <c r="DV21" s="76" t="s">
        <v>13</v>
      </c>
      <c r="DW21" s="76"/>
      <c r="DX21" s="76"/>
      <c r="DY21" s="76"/>
      <c r="DZ21" s="56"/>
      <c r="EA21" s="56"/>
      <c r="EB21" s="76"/>
      <c r="EC21" s="76" t="s">
        <v>13</v>
      </c>
      <c r="ED21" s="148" t="s">
        <v>211</v>
      </c>
      <c r="EE21" s="76"/>
      <c r="EF21" s="76" t="s">
        <v>82</v>
      </c>
      <c r="EG21" s="7" t="s">
        <v>65</v>
      </c>
      <c r="EH21" s="56"/>
      <c r="EI21" s="56"/>
      <c r="EJ21" s="151"/>
      <c r="EK21" s="76"/>
      <c r="EL21" s="116"/>
      <c r="EM21" s="76"/>
      <c r="EN21" s="76"/>
      <c r="EO21" s="56"/>
      <c r="EP21" s="56"/>
      <c r="EQ21" s="76"/>
      <c r="ER21" s="159"/>
      <c r="ES21" s="131"/>
      <c r="ET21" s="159"/>
      <c r="EU21" s="159"/>
      <c r="EV21" s="56"/>
      <c r="EW21" s="56"/>
    </row>
    <row r="22" spans="1:153" s="65" customFormat="1" ht="14.25" customHeight="1">
      <c r="A22" s="7" t="s">
        <v>66</v>
      </c>
      <c r="B22" s="168">
        <v>29263</v>
      </c>
      <c r="C22" s="76"/>
      <c r="D22" s="76"/>
      <c r="E22" s="76"/>
      <c r="F22" s="56"/>
      <c r="G22" s="56"/>
      <c r="H22" s="76"/>
      <c r="I22" s="76" t="s">
        <v>13</v>
      </c>
      <c r="J22" s="76" t="s">
        <v>13</v>
      </c>
      <c r="K22" s="76"/>
      <c r="L22" s="76"/>
      <c r="M22" s="56"/>
      <c r="N22" s="56"/>
      <c r="O22" s="76"/>
      <c r="P22" s="76" t="s">
        <v>13</v>
      </c>
      <c r="Q22" s="76" t="s">
        <v>13</v>
      </c>
      <c r="R22" s="76"/>
      <c r="S22" s="76"/>
      <c r="T22" s="7" t="s">
        <v>66</v>
      </c>
      <c r="U22" s="56"/>
      <c r="V22" s="56"/>
      <c r="W22" s="76" t="s">
        <v>13</v>
      </c>
      <c r="X22" s="76"/>
      <c r="Y22" s="76"/>
      <c r="Z22" s="76"/>
      <c r="AA22" s="76" t="s">
        <v>13</v>
      </c>
      <c r="AB22" s="56"/>
      <c r="AC22" s="56"/>
      <c r="AD22" s="76" t="s">
        <v>13</v>
      </c>
      <c r="AE22" s="76"/>
      <c r="AF22" s="76"/>
      <c r="AG22" s="76"/>
      <c r="AH22" s="103" t="s">
        <v>13</v>
      </c>
      <c r="AI22" s="56"/>
      <c r="AJ22" s="56"/>
      <c r="AK22" s="56"/>
      <c r="AL22" s="56"/>
      <c r="AM22" s="76" t="s">
        <v>13</v>
      </c>
      <c r="AN22" s="76"/>
      <c r="AO22" s="76" t="s">
        <v>13</v>
      </c>
      <c r="AP22" s="7" t="s">
        <v>66</v>
      </c>
      <c r="AQ22" s="56"/>
      <c r="AR22" s="56"/>
      <c r="AX22" s="56"/>
      <c r="AY22" s="56"/>
      <c r="AZ22" s="76" t="s">
        <v>13</v>
      </c>
      <c r="BA22" s="76" t="s">
        <v>13</v>
      </c>
      <c r="BB22" s="76" t="s">
        <v>13</v>
      </c>
      <c r="BC22" s="76" t="s">
        <v>13</v>
      </c>
      <c r="BE22" s="56"/>
      <c r="BF22" s="56"/>
      <c r="BL22" s="56"/>
      <c r="BM22" s="56"/>
      <c r="BN22" s="7" t="s">
        <v>66</v>
      </c>
      <c r="BO22" s="76" t="s">
        <v>13</v>
      </c>
      <c r="BP22" s="76" t="s">
        <v>13</v>
      </c>
      <c r="BQ22" s="76" t="s">
        <v>13</v>
      </c>
      <c r="BR22" s="76"/>
      <c r="BS22" s="116"/>
      <c r="BT22" s="56"/>
      <c r="BU22" s="56"/>
      <c r="BV22" s="76"/>
      <c r="BW22" s="76"/>
      <c r="BX22" s="76"/>
      <c r="BY22" s="76"/>
      <c r="BZ22" s="76"/>
      <c r="CA22" s="56"/>
      <c r="CB22" s="56"/>
      <c r="CC22" s="76"/>
      <c r="CD22" s="76" t="s">
        <v>13</v>
      </c>
      <c r="CE22" s="124"/>
      <c r="CF22" s="124"/>
      <c r="CG22" s="124"/>
      <c r="CH22" s="56"/>
      <c r="CI22" s="56"/>
      <c r="CJ22" s="131"/>
      <c r="CK22" s="76" t="s">
        <v>13</v>
      </c>
      <c r="CL22" s="76"/>
      <c r="CM22" s="76" t="s">
        <v>82</v>
      </c>
      <c r="CN22" s="76" t="s">
        <v>13</v>
      </c>
      <c r="CO22" s="56"/>
      <c r="CP22" s="56"/>
      <c r="CQ22" s="7" t="s">
        <v>66</v>
      </c>
      <c r="CR22" s="76"/>
      <c r="CS22" s="76"/>
      <c r="CT22" s="76"/>
      <c r="CU22" s="76" t="s">
        <v>82</v>
      </c>
      <c r="CV22" s="76"/>
      <c r="CW22" s="56"/>
      <c r="CX22" s="56"/>
      <c r="CY22" s="76" t="s">
        <v>13</v>
      </c>
      <c r="CZ22" s="76"/>
      <c r="DA22" s="76"/>
      <c r="DB22" s="76"/>
      <c r="DC22" s="76" t="s">
        <v>13</v>
      </c>
      <c r="DD22" s="56"/>
      <c r="DE22" s="56"/>
      <c r="DF22" s="76" t="s">
        <v>13</v>
      </c>
      <c r="DG22" s="76"/>
      <c r="DH22" s="76"/>
      <c r="DI22" s="76"/>
      <c r="DJ22" s="76"/>
      <c r="DK22" s="7" t="s">
        <v>66</v>
      </c>
      <c r="DL22" s="56"/>
      <c r="DM22" s="56"/>
      <c r="DN22" s="67"/>
      <c r="DO22" s="67"/>
      <c r="DP22" s="67"/>
      <c r="DQ22" s="67"/>
      <c r="DR22" s="67"/>
      <c r="DS22" s="72"/>
      <c r="DT22" s="72"/>
      <c r="DU22" s="135"/>
      <c r="DV22" s="76"/>
      <c r="DW22" s="76"/>
      <c r="DX22" s="76"/>
      <c r="DY22" s="76" t="s">
        <v>82</v>
      </c>
      <c r="DZ22" s="56"/>
      <c r="EA22" s="56"/>
      <c r="EB22" s="76"/>
      <c r="EC22" s="76"/>
      <c r="ED22" s="148"/>
      <c r="EE22" s="131"/>
      <c r="EF22" s="76"/>
      <c r="EG22" s="7" t="s">
        <v>66</v>
      </c>
      <c r="EH22" s="56"/>
      <c r="EI22" s="56"/>
      <c r="EJ22" s="151"/>
      <c r="EK22" s="76" t="s">
        <v>13</v>
      </c>
      <c r="EL22" s="116" t="s">
        <v>13</v>
      </c>
      <c r="EM22" s="76"/>
      <c r="EN22" s="76"/>
      <c r="EO22" s="56"/>
      <c r="EP22" s="56"/>
      <c r="EQ22" s="76"/>
      <c r="ER22" s="159"/>
      <c r="ES22" s="131"/>
      <c r="ET22" s="159"/>
      <c r="EU22" s="159"/>
      <c r="EV22" s="56"/>
      <c r="EW22" s="56"/>
    </row>
    <row r="23" spans="1:153" s="65" customFormat="1" ht="14.25" customHeight="1">
      <c r="A23" s="7" t="s">
        <v>67</v>
      </c>
      <c r="B23" s="168">
        <v>29296</v>
      </c>
      <c r="C23" s="76"/>
      <c r="D23" s="76"/>
      <c r="E23" s="76"/>
      <c r="F23" s="56"/>
      <c r="G23" s="56"/>
      <c r="H23" s="76"/>
      <c r="I23" s="76"/>
      <c r="J23" s="76"/>
      <c r="K23" s="76"/>
      <c r="L23" s="76"/>
      <c r="M23" s="56"/>
      <c r="N23" s="56"/>
      <c r="O23" s="76"/>
      <c r="P23" s="76"/>
      <c r="Q23" s="76"/>
      <c r="R23" s="76"/>
      <c r="S23" s="76"/>
      <c r="T23" s="7" t="s">
        <v>67</v>
      </c>
      <c r="U23" s="56"/>
      <c r="V23" s="56"/>
      <c r="W23" s="76" t="s">
        <v>82</v>
      </c>
      <c r="X23" s="76"/>
      <c r="Y23" s="76"/>
      <c r="Z23" s="76"/>
      <c r="AA23" s="76"/>
      <c r="AB23" s="56"/>
      <c r="AC23" s="56"/>
      <c r="AD23" s="76"/>
      <c r="AE23" s="76"/>
      <c r="AF23" s="76"/>
      <c r="AG23" s="76"/>
      <c r="AH23" s="104" t="s">
        <v>82</v>
      </c>
      <c r="AI23" s="56"/>
      <c r="AJ23" s="56"/>
      <c r="AK23" s="56"/>
      <c r="AL23" s="56"/>
      <c r="AM23" s="76"/>
      <c r="AN23" s="76"/>
      <c r="AO23" s="76"/>
      <c r="AP23" s="7" t="s">
        <v>67</v>
      </c>
      <c r="AQ23" s="56"/>
      <c r="AR23" s="56"/>
      <c r="AX23" s="56"/>
      <c r="AY23" s="56"/>
      <c r="AZ23" s="76"/>
      <c r="BA23" s="76"/>
      <c r="BB23" s="76"/>
      <c r="BC23" s="76" t="s">
        <v>82</v>
      </c>
      <c r="BE23" s="56"/>
      <c r="BF23" s="56"/>
      <c r="BL23" s="56"/>
      <c r="BM23" s="56"/>
      <c r="BN23" s="7" t="s">
        <v>67</v>
      </c>
      <c r="BO23" s="76"/>
      <c r="BP23" s="76" t="s">
        <v>82</v>
      </c>
      <c r="BQ23" s="76"/>
      <c r="BR23" s="76"/>
      <c r="BS23" s="116"/>
      <c r="BT23" s="56"/>
      <c r="BU23" s="56"/>
      <c r="BV23" s="76"/>
      <c r="BW23" s="76"/>
      <c r="BX23" s="76" t="s">
        <v>82</v>
      </c>
      <c r="BY23" s="76" t="s">
        <v>82</v>
      </c>
      <c r="BZ23" s="76"/>
      <c r="CA23" s="56"/>
      <c r="CB23" s="56"/>
      <c r="CC23" s="76"/>
      <c r="CD23" s="76"/>
      <c r="CE23" s="124"/>
      <c r="CF23" s="124"/>
      <c r="CG23" s="124"/>
      <c r="CH23" s="56"/>
      <c r="CI23" s="56"/>
      <c r="CJ23" s="76" t="s">
        <v>82</v>
      </c>
      <c r="CK23" s="76"/>
      <c r="CL23" s="76"/>
      <c r="CM23" s="76" t="s">
        <v>82</v>
      </c>
      <c r="CN23" s="76"/>
      <c r="CO23" s="56"/>
      <c r="CP23" s="56"/>
      <c r="CQ23" s="7" t="s">
        <v>67</v>
      </c>
      <c r="CR23" s="76"/>
      <c r="CS23" s="76"/>
      <c r="CT23" s="76" t="s">
        <v>13</v>
      </c>
      <c r="CU23" s="76" t="s">
        <v>82</v>
      </c>
      <c r="CV23" s="76" t="s">
        <v>13</v>
      </c>
      <c r="CW23" s="56"/>
      <c r="CX23" s="56"/>
      <c r="CY23" s="76"/>
      <c r="CZ23" s="76"/>
      <c r="DA23" s="76" t="s">
        <v>82</v>
      </c>
      <c r="DB23" s="76"/>
      <c r="DC23" s="76" t="s">
        <v>13</v>
      </c>
      <c r="DD23" s="56"/>
      <c r="DE23" s="56"/>
      <c r="DF23" s="76"/>
      <c r="DG23" s="76" t="s">
        <v>82</v>
      </c>
      <c r="DH23" s="76"/>
      <c r="DI23" s="76"/>
      <c r="DJ23" s="76"/>
      <c r="DK23" s="7" t="s">
        <v>67</v>
      </c>
      <c r="DL23" s="56"/>
      <c r="DM23" s="56"/>
      <c r="DN23" s="67"/>
      <c r="DO23" s="67"/>
      <c r="DP23" s="67"/>
      <c r="DQ23" s="67"/>
      <c r="DR23" s="67"/>
      <c r="DS23" s="72"/>
      <c r="DT23" s="72"/>
      <c r="DU23" s="135"/>
      <c r="DV23" s="76"/>
      <c r="DW23" s="76" t="s">
        <v>13</v>
      </c>
      <c r="DX23" s="76" t="s">
        <v>13</v>
      </c>
      <c r="DY23" s="76" t="s">
        <v>82</v>
      </c>
      <c r="DZ23" s="56"/>
      <c r="EA23" s="56"/>
      <c r="EB23" s="76"/>
      <c r="EC23" s="76"/>
      <c r="ED23" s="148"/>
      <c r="EE23" s="76"/>
      <c r="EF23" s="76"/>
      <c r="EG23" s="7" t="s">
        <v>67</v>
      </c>
      <c r="EH23" s="56"/>
      <c r="EI23" s="56"/>
      <c r="EJ23" s="151"/>
      <c r="EK23" s="76"/>
      <c r="EL23" s="116"/>
      <c r="EM23" s="76"/>
      <c r="EN23" s="76" t="s">
        <v>82</v>
      </c>
      <c r="EO23" s="56"/>
      <c r="EP23" s="56"/>
      <c r="EQ23" s="76"/>
      <c r="ER23" s="159"/>
      <c r="ES23" s="131"/>
      <c r="ET23" s="159"/>
      <c r="EU23" s="159"/>
      <c r="EV23" s="56"/>
      <c r="EW23" s="56"/>
    </row>
    <row r="24" spans="1:153" s="65" customFormat="1" ht="14.25" customHeight="1">
      <c r="A24" s="7" t="s">
        <v>68</v>
      </c>
      <c r="B24" s="51">
        <v>29308</v>
      </c>
      <c r="C24" s="76"/>
      <c r="D24" s="76"/>
      <c r="E24" s="76"/>
      <c r="F24" s="56"/>
      <c r="G24" s="56"/>
      <c r="H24" s="76"/>
      <c r="I24" s="76"/>
      <c r="J24" s="76"/>
      <c r="K24" s="76"/>
      <c r="L24" s="76"/>
      <c r="M24" s="56"/>
      <c r="N24" s="56"/>
      <c r="O24" s="76"/>
      <c r="P24" s="76"/>
      <c r="Q24" s="76"/>
      <c r="R24" s="76"/>
      <c r="S24" s="76"/>
      <c r="T24" s="7" t="s">
        <v>68</v>
      </c>
      <c r="U24" s="56"/>
      <c r="V24" s="56"/>
      <c r="W24" s="76"/>
      <c r="X24" s="76"/>
      <c r="Y24" s="76"/>
      <c r="Z24" s="76"/>
      <c r="AA24" s="76"/>
      <c r="AB24" s="56"/>
      <c r="AC24" s="56"/>
      <c r="AD24" s="76"/>
      <c r="AE24" s="76"/>
      <c r="AF24" s="76"/>
      <c r="AG24" s="76"/>
      <c r="AH24" s="76"/>
      <c r="AI24" s="56"/>
      <c r="AJ24" s="56"/>
      <c r="AK24" s="56"/>
      <c r="AL24" s="56"/>
      <c r="AM24" s="76"/>
      <c r="AN24" s="76"/>
      <c r="AO24" s="76"/>
      <c r="AP24" s="7" t="s">
        <v>68</v>
      </c>
      <c r="AQ24" s="56"/>
      <c r="AR24" s="56"/>
      <c r="AX24" s="56"/>
      <c r="AY24" s="56"/>
      <c r="AZ24" s="76"/>
      <c r="BA24" s="76"/>
      <c r="BB24" s="76"/>
      <c r="BC24" s="76"/>
      <c r="BE24" s="56"/>
      <c r="BF24" s="56"/>
      <c r="BL24" s="56"/>
      <c r="BM24" s="56"/>
      <c r="BN24" s="7" t="s">
        <v>68</v>
      </c>
      <c r="BO24" s="76"/>
      <c r="BP24" s="76"/>
      <c r="BQ24" s="76"/>
      <c r="BR24" s="76"/>
      <c r="BS24" s="116"/>
      <c r="BT24" s="56"/>
      <c r="BU24" s="56"/>
      <c r="BV24" s="76"/>
      <c r="BW24" s="76"/>
      <c r="BX24" s="76"/>
      <c r="BY24" s="76"/>
      <c r="BZ24" s="76"/>
      <c r="CA24" s="56"/>
      <c r="CB24" s="56"/>
      <c r="CC24" s="76"/>
      <c r="CD24" s="76"/>
      <c r="CE24" s="124"/>
      <c r="CF24" s="124"/>
      <c r="CG24" s="124"/>
      <c r="CH24" s="56"/>
      <c r="CI24" s="56"/>
      <c r="CJ24" s="76"/>
      <c r="CK24" s="76"/>
      <c r="CL24" s="76"/>
      <c r="CM24" s="76"/>
      <c r="CN24" s="76"/>
      <c r="CO24" s="56"/>
      <c r="CP24" s="56"/>
      <c r="CQ24" s="7" t="s">
        <v>68</v>
      </c>
      <c r="CR24" s="76"/>
      <c r="CS24" s="76"/>
      <c r="CT24" s="76"/>
      <c r="CU24" s="76"/>
      <c r="CV24" s="76"/>
      <c r="CW24" s="56"/>
      <c r="CX24" s="56"/>
      <c r="CY24" s="76"/>
      <c r="CZ24" s="76"/>
      <c r="DA24" s="76"/>
      <c r="DB24" s="76"/>
      <c r="DC24" s="76"/>
      <c r="DD24" s="56"/>
      <c r="DE24" s="56"/>
      <c r="DF24" s="76"/>
      <c r="DG24" s="76"/>
      <c r="DH24" s="76"/>
      <c r="DI24" s="76"/>
      <c r="DJ24" s="76"/>
      <c r="DK24" s="7" t="s">
        <v>68</v>
      </c>
      <c r="DL24" s="56"/>
      <c r="DM24" s="56"/>
      <c r="DN24" s="67"/>
      <c r="DO24" s="67"/>
      <c r="DP24" s="67"/>
      <c r="DQ24" s="67"/>
      <c r="DR24" s="67"/>
      <c r="DS24" s="72"/>
      <c r="DT24" s="72"/>
      <c r="DU24" s="135"/>
      <c r="DV24" s="76"/>
      <c r="DW24" s="76"/>
      <c r="DX24" s="76"/>
      <c r="DY24" s="76"/>
      <c r="DZ24" s="56"/>
      <c r="EA24" s="56"/>
      <c r="EB24" s="76"/>
      <c r="EC24" s="76" t="s">
        <v>82</v>
      </c>
      <c r="ED24" s="148"/>
      <c r="EE24" s="76"/>
      <c r="EF24" s="76" t="s">
        <v>13</v>
      </c>
      <c r="EG24" s="7" t="s">
        <v>68</v>
      </c>
      <c r="EH24" s="56"/>
      <c r="EI24" s="56"/>
      <c r="EJ24" s="151"/>
      <c r="EK24" s="76"/>
      <c r="EL24" s="116"/>
      <c r="EM24" s="76"/>
      <c r="EN24" s="76"/>
      <c r="EO24" s="56"/>
      <c r="EP24" s="56"/>
      <c r="EQ24" s="76" t="s">
        <v>13</v>
      </c>
      <c r="ER24" s="159"/>
      <c r="ES24" s="131"/>
      <c r="ET24" s="159"/>
      <c r="EU24" s="159"/>
      <c r="EV24" s="56"/>
      <c r="EW24" s="56"/>
    </row>
    <row r="25" spans="1:153" s="65" customFormat="1" ht="14.25" customHeight="1">
      <c r="A25" s="51"/>
      <c r="B25" s="51"/>
      <c r="C25" s="76"/>
      <c r="D25" s="76"/>
      <c r="E25" s="76"/>
      <c r="F25" s="56"/>
      <c r="G25" s="56"/>
      <c r="H25" s="76"/>
      <c r="I25" s="76"/>
      <c r="J25" s="76"/>
      <c r="K25" s="76"/>
      <c r="L25" s="76"/>
      <c r="M25" s="56"/>
      <c r="N25" s="56"/>
      <c r="O25" s="76"/>
      <c r="P25" s="76"/>
      <c r="Q25" s="76"/>
      <c r="R25" s="76"/>
      <c r="S25" s="76"/>
      <c r="T25" s="51"/>
      <c r="U25" s="56"/>
      <c r="V25" s="56"/>
      <c r="W25" s="76"/>
      <c r="X25" s="76"/>
      <c r="Y25" s="76"/>
      <c r="Z25" s="76"/>
      <c r="AA25" s="76"/>
      <c r="AB25" s="56"/>
      <c r="AC25" s="56"/>
      <c r="AD25" s="76"/>
      <c r="AE25" s="76"/>
      <c r="AF25" s="76"/>
      <c r="AG25" s="76"/>
      <c r="AH25" s="76"/>
      <c r="AI25" s="56"/>
      <c r="AJ25" s="56"/>
      <c r="AK25" s="56"/>
      <c r="AL25" s="56"/>
      <c r="AM25" s="76"/>
      <c r="AN25" s="76"/>
      <c r="AO25" s="76"/>
      <c r="AP25" s="51"/>
      <c r="AQ25" s="56"/>
      <c r="AR25" s="56"/>
      <c r="AX25" s="56"/>
      <c r="AY25" s="56"/>
      <c r="AZ25" s="76"/>
      <c r="BA25" s="76"/>
      <c r="BB25" s="76"/>
      <c r="BC25" s="76"/>
      <c r="BE25" s="56"/>
      <c r="BF25" s="56"/>
      <c r="BL25" s="56"/>
      <c r="BM25" s="56"/>
      <c r="BN25" s="51"/>
      <c r="BO25" s="76"/>
      <c r="BP25" s="76"/>
      <c r="BQ25" s="76"/>
      <c r="BR25" s="76"/>
      <c r="BS25" s="116"/>
      <c r="BT25" s="56"/>
      <c r="BU25" s="56"/>
      <c r="BV25" s="76"/>
      <c r="BW25" s="76"/>
      <c r="BX25" s="76"/>
      <c r="BY25" s="76"/>
      <c r="BZ25" s="76"/>
      <c r="CA25" s="56"/>
      <c r="CB25" s="56"/>
      <c r="CC25" s="76"/>
      <c r="CD25" s="76"/>
      <c r="CE25" s="124"/>
      <c r="CF25" s="124"/>
      <c r="CG25" s="124"/>
      <c r="CH25" s="56"/>
      <c r="CI25" s="56"/>
      <c r="CJ25" s="76"/>
      <c r="CK25" s="76"/>
      <c r="CL25" s="76"/>
      <c r="CM25" s="76"/>
      <c r="CN25" s="76"/>
      <c r="CO25" s="56"/>
      <c r="CP25" s="56"/>
      <c r="CQ25" s="51"/>
      <c r="CR25" s="76"/>
      <c r="CS25" s="76"/>
      <c r="CT25" s="76"/>
      <c r="CU25" s="76"/>
      <c r="CV25" s="76"/>
      <c r="CW25" s="56"/>
      <c r="CX25" s="56"/>
      <c r="CY25" s="76"/>
      <c r="CZ25" s="76"/>
      <c r="DA25" s="76"/>
      <c r="DB25" s="76"/>
      <c r="DC25" s="76"/>
      <c r="DD25" s="56"/>
      <c r="DE25" s="56"/>
      <c r="DF25" s="76"/>
      <c r="DG25" s="76"/>
      <c r="DH25" s="76"/>
      <c r="DI25" s="76"/>
      <c r="DJ25" s="76"/>
      <c r="DK25" s="51"/>
      <c r="DL25" s="56"/>
      <c r="DM25" s="56"/>
      <c r="DN25" s="67"/>
      <c r="DO25" s="67"/>
      <c r="DP25" s="67"/>
      <c r="DQ25" s="67"/>
      <c r="DR25" s="67"/>
      <c r="DS25" s="72"/>
      <c r="DT25" s="72"/>
      <c r="DU25" s="135"/>
      <c r="DV25" s="76"/>
      <c r="DW25" s="76"/>
      <c r="DX25" s="76"/>
      <c r="DY25" s="76"/>
      <c r="DZ25" s="56"/>
      <c r="EA25" s="56"/>
      <c r="EB25" s="76"/>
      <c r="EC25" s="76"/>
      <c r="ED25" s="148"/>
      <c r="EE25" s="76"/>
      <c r="EF25" s="76"/>
      <c r="EG25" s="51"/>
      <c r="EH25" s="56"/>
      <c r="EI25" s="56"/>
      <c r="EJ25" s="149"/>
      <c r="EK25" s="76"/>
      <c r="EL25" s="116"/>
      <c r="EM25" s="76"/>
      <c r="EN25" s="76"/>
      <c r="EO25" s="56"/>
      <c r="EP25" s="56"/>
      <c r="EQ25" s="76"/>
      <c r="ER25" s="159"/>
      <c r="ES25" s="131"/>
      <c r="ET25" s="159"/>
      <c r="EU25" s="159"/>
      <c r="EV25" s="56"/>
      <c r="EW25" s="5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</cp:lastModifiedBy>
  <cp:lastPrinted>2006-03-21T20:33:59Z</cp:lastPrinted>
  <dcterms:created xsi:type="dcterms:W3CDTF">2003-02-28T14:59:08Z</dcterms:created>
  <dcterms:modified xsi:type="dcterms:W3CDTF">2007-01-24T19:33:34Z</dcterms:modified>
  <cp:category/>
  <cp:version/>
  <cp:contentType/>
  <cp:contentStatus/>
</cp:coreProperties>
</file>